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O:\Progetti\PSR 2020\Focus Area 3A\Breed4bio 5195163\Relazioni - finali\0-Relazioni - finali\"/>
    </mc:Choice>
  </mc:AlternateContent>
  <xr:revisionPtr revIDLastSave="0" documentId="13_ncr:1_{8A20D088-D60C-4583-BB16-0F17EA52E1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ice" sheetId="11" r:id="rId1"/>
    <sheet name="Prod. sementiera" sheetId="8" r:id="rId2"/>
    <sheet name="Granella da macinare" sheetId="4" r:id="rId3"/>
    <sheet name="Granella + farina" sheetId="5" r:id="rId4"/>
    <sheet name="Farina + pane" sheetId="9" r:id="rId5"/>
    <sheet name="Filiere - grafici" sheetId="10" r:id="rId6"/>
    <sheet name="Elenchi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0" l="1"/>
  <c r="D12" i="10"/>
  <c r="D15" i="10"/>
  <c r="I46" i="5"/>
  <c r="I28" i="5"/>
  <c r="I23" i="5"/>
  <c r="I18" i="5"/>
  <c r="I13" i="5"/>
  <c r="I10" i="5"/>
  <c r="I46" i="4"/>
  <c r="I38" i="4"/>
  <c r="I33" i="4"/>
  <c r="I28" i="4"/>
  <c r="I23" i="4"/>
  <c r="I18" i="4"/>
  <c r="I13" i="4"/>
  <c r="I10" i="4"/>
  <c r="I46" i="8"/>
  <c r="I33" i="8"/>
  <c r="I28" i="8"/>
  <c r="I23" i="8"/>
  <c r="I18" i="8"/>
  <c r="I13" i="8"/>
  <c r="I10" i="8"/>
  <c r="L21" i="8"/>
  <c r="L40" i="4"/>
  <c r="L39" i="8"/>
  <c r="L16" i="5"/>
  <c r="L16" i="4"/>
  <c r="T31" i="5"/>
  <c r="S31" i="5"/>
  <c r="R31" i="5"/>
  <c r="Q31" i="5"/>
  <c r="N26" i="5"/>
  <c r="T27" i="5"/>
  <c r="S27" i="5"/>
  <c r="R27" i="5"/>
  <c r="Q27" i="5"/>
  <c r="N31" i="5" l="1"/>
  <c r="U27" i="5"/>
  <c r="N42" i="5" s="1"/>
  <c r="G43" i="5"/>
  <c r="G38" i="5"/>
  <c r="I38" i="5" s="1"/>
  <c r="G33" i="5"/>
  <c r="I33" i="5" s="1"/>
  <c r="N27" i="5" l="1"/>
  <c r="L18" i="5"/>
  <c r="G43" i="4"/>
  <c r="G38" i="4"/>
  <c r="G33" i="4"/>
  <c r="G43" i="8"/>
  <c r="I38" i="8"/>
  <c r="N25" i="9" l="1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F71" i="8"/>
  <c r="E71" i="8"/>
  <c r="D71" i="8"/>
  <c r="H59" i="8"/>
  <c r="F57" i="8" s="1"/>
  <c r="F56" i="8"/>
  <c r="F55" i="8"/>
  <c r="F51" i="8"/>
  <c r="F52" i="8" s="1"/>
  <c r="F50" i="8"/>
  <c r="F46" i="8"/>
  <c r="F67" i="8" s="1"/>
  <c r="H45" i="8"/>
  <c r="H44" i="8"/>
  <c r="F43" i="8"/>
  <c r="H42" i="8"/>
  <c r="H41" i="8"/>
  <c r="H40" i="8"/>
  <c r="H39" i="8"/>
  <c r="H34" i="8"/>
  <c r="F53" i="8"/>
  <c r="F54" i="8" s="1"/>
  <c r="F28" i="8"/>
  <c r="F66" i="8" s="1"/>
  <c r="H27" i="8"/>
  <c r="H26" i="8"/>
  <c r="H25" i="8"/>
  <c r="H24" i="8"/>
  <c r="F23" i="8"/>
  <c r="F64" i="8" s="1"/>
  <c r="H22" i="8"/>
  <c r="H21" i="8"/>
  <c r="H20" i="8"/>
  <c r="H19" i="8"/>
  <c r="F18" i="8"/>
  <c r="H17" i="8"/>
  <c r="H16" i="8"/>
  <c r="H15" i="8"/>
  <c r="H14" i="8"/>
  <c r="F13" i="8"/>
  <c r="H12" i="8"/>
  <c r="H11" i="8"/>
  <c r="F10" i="8"/>
  <c r="H9" i="8"/>
  <c r="H8" i="8"/>
  <c r="H7" i="8"/>
  <c r="M6" i="8"/>
  <c r="L9" i="8" s="1"/>
  <c r="L16" i="8" s="1"/>
  <c r="L18" i="8" s="1"/>
  <c r="C13" i="10" s="1"/>
  <c r="H6" i="8"/>
  <c r="F71" i="5"/>
  <c r="E71" i="5"/>
  <c r="D71" i="5"/>
  <c r="H59" i="5"/>
  <c r="F57" i="5"/>
  <c r="F56" i="5"/>
  <c r="F55" i="5"/>
  <c r="F51" i="5"/>
  <c r="F52" i="5" s="1"/>
  <c r="F50" i="5"/>
  <c r="F46" i="5"/>
  <c r="H45" i="5"/>
  <c r="H44" i="5"/>
  <c r="F43" i="5"/>
  <c r="H42" i="5"/>
  <c r="H41" i="5"/>
  <c r="H40" i="5"/>
  <c r="H39" i="5"/>
  <c r="F38" i="5"/>
  <c r="H34" i="5"/>
  <c r="H30" i="5"/>
  <c r="H29" i="5"/>
  <c r="F28" i="5"/>
  <c r="H27" i="5"/>
  <c r="H26" i="5"/>
  <c r="H25" i="5"/>
  <c r="H24" i="5"/>
  <c r="F23" i="5"/>
  <c r="F64" i="5" s="1"/>
  <c r="H22" i="5"/>
  <c r="H21" i="5"/>
  <c r="H20" i="5"/>
  <c r="H19" i="5"/>
  <c r="F18" i="5"/>
  <c r="H17" i="5"/>
  <c r="H16" i="5"/>
  <c r="H15" i="5"/>
  <c r="H14" i="5"/>
  <c r="F13" i="5"/>
  <c r="H12" i="5"/>
  <c r="H11" i="5"/>
  <c r="F10" i="5"/>
  <c r="H9" i="5"/>
  <c r="H8" i="5"/>
  <c r="H7" i="5"/>
  <c r="M6" i="5"/>
  <c r="L9" i="5" s="1"/>
  <c r="H6" i="5"/>
  <c r="F71" i="4"/>
  <c r="E71" i="4"/>
  <c r="D71" i="4"/>
  <c r="H59" i="4"/>
  <c r="F57" i="4"/>
  <c r="F56" i="4"/>
  <c r="F55" i="4"/>
  <c r="F51" i="4"/>
  <c r="F52" i="4" s="1"/>
  <c r="F50" i="4"/>
  <c r="F46" i="4"/>
  <c r="H45" i="4"/>
  <c r="H44" i="4"/>
  <c r="F43" i="4"/>
  <c r="H42" i="4"/>
  <c r="H41" i="4"/>
  <c r="H40" i="4"/>
  <c r="H39" i="4"/>
  <c r="H34" i="4"/>
  <c r="H31" i="4"/>
  <c r="H29" i="4"/>
  <c r="F28" i="4"/>
  <c r="H27" i="4"/>
  <c r="H26" i="4"/>
  <c r="H25" i="4"/>
  <c r="H24" i="4"/>
  <c r="F23" i="4"/>
  <c r="H22" i="4"/>
  <c r="H21" i="4"/>
  <c r="H20" i="4"/>
  <c r="H19" i="4"/>
  <c r="F18" i="4"/>
  <c r="H17" i="4"/>
  <c r="H16" i="4"/>
  <c r="H15" i="4"/>
  <c r="H14" i="4"/>
  <c r="F13" i="4"/>
  <c r="H12" i="4"/>
  <c r="H11" i="4"/>
  <c r="F10" i="4"/>
  <c r="H9" i="4"/>
  <c r="H8" i="4"/>
  <c r="H7" i="4"/>
  <c r="M6" i="4"/>
  <c r="L9" i="4" s="1"/>
  <c r="L13" i="4" s="1"/>
  <c r="H6" i="4"/>
  <c r="F74" i="8" l="1"/>
  <c r="C6" i="10" s="1"/>
  <c r="L13" i="5"/>
  <c r="L21" i="5"/>
  <c r="F76" i="8"/>
  <c r="C7" i="10" s="1"/>
  <c r="F77" i="8"/>
  <c r="C8" i="10" s="1"/>
  <c r="H29" i="8"/>
  <c r="L38" i="4"/>
  <c r="L42" i="4" s="1"/>
  <c r="D17" i="10" s="1"/>
  <c r="F63" i="8"/>
  <c r="H32" i="8"/>
  <c r="F33" i="8"/>
  <c r="F66" i="4"/>
  <c r="F76" i="4" s="1"/>
  <c r="D7" i="10" s="1"/>
  <c r="F67" i="4"/>
  <c r="F77" i="4" s="1"/>
  <c r="F64" i="4"/>
  <c r="F74" i="4" s="1"/>
  <c r="D6" i="10" s="1"/>
  <c r="F63" i="4"/>
  <c r="F73" i="4" s="1"/>
  <c r="D4" i="10" s="1"/>
  <c r="F63" i="5"/>
  <c r="F73" i="5" s="1"/>
  <c r="E4" i="10" s="1"/>
  <c r="O25" i="9"/>
  <c r="N9" i="5"/>
  <c r="F67" i="5"/>
  <c r="F77" i="5" s="1"/>
  <c r="E8" i="10" s="1"/>
  <c r="F66" i="5"/>
  <c r="F76" i="5" s="1"/>
  <c r="E7" i="10" s="1"/>
  <c r="L37" i="8"/>
  <c r="L41" i="8" s="1"/>
  <c r="C17" i="10" s="1"/>
  <c r="F58" i="8"/>
  <c r="F68" i="8" s="1"/>
  <c r="F78" i="8" s="1"/>
  <c r="C9" i="10" s="1"/>
  <c r="C26" i="10" s="1"/>
  <c r="F58" i="5"/>
  <c r="F68" i="5" s="1"/>
  <c r="F78" i="5" s="1"/>
  <c r="E9" i="10" s="1"/>
  <c r="H31" i="5"/>
  <c r="H32" i="5"/>
  <c r="F33" i="5"/>
  <c r="H35" i="8"/>
  <c r="H37" i="8"/>
  <c r="F38" i="8"/>
  <c r="H30" i="8"/>
  <c r="H36" i="8"/>
  <c r="L13" i="8"/>
  <c r="C10" i="10" s="1"/>
  <c r="H31" i="8"/>
  <c r="F58" i="4"/>
  <c r="H32" i="4"/>
  <c r="F33" i="4"/>
  <c r="F74" i="5"/>
  <c r="E6" i="10" s="1"/>
  <c r="H35" i="5"/>
  <c r="H36" i="5"/>
  <c r="F53" i="5"/>
  <c r="F54" i="5" s="1"/>
  <c r="H37" i="5"/>
  <c r="H35" i="4"/>
  <c r="L18" i="4"/>
  <c r="D13" i="10" s="1"/>
  <c r="H36" i="4"/>
  <c r="F53" i="4"/>
  <c r="F54" i="4" s="1"/>
  <c r="L21" i="4"/>
  <c r="D10" i="10" s="1"/>
  <c r="H37" i="4"/>
  <c r="H30" i="4"/>
  <c r="F38" i="4"/>
  <c r="D27" i="10" l="1"/>
  <c r="D28" i="10"/>
  <c r="D32" i="10"/>
  <c r="D29" i="10"/>
  <c r="D30" i="10"/>
  <c r="D21" i="10"/>
  <c r="D23" i="10"/>
  <c r="D24" i="10"/>
  <c r="C32" i="10"/>
  <c r="C28" i="10"/>
  <c r="C29" i="10"/>
  <c r="C21" i="10"/>
  <c r="C23" i="10"/>
  <c r="C24" i="10"/>
  <c r="C27" i="10"/>
  <c r="C25" i="10"/>
  <c r="C30" i="10"/>
  <c r="E10" i="10"/>
  <c r="D8" i="10"/>
  <c r="D25" i="10" s="1"/>
  <c r="F73" i="8"/>
  <c r="C4" i="10" s="1"/>
  <c r="F68" i="4"/>
  <c r="F78" i="4" s="1"/>
  <c r="D9" i="10" s="1"/>
  <c r="D26" i="10" s="1"/>
  <c r="F60" i="4"/>
  <c r="F59" i="4" s="1"/>
  <c r="F65" i="5"/>
  <c r="F75" i="5" s="1"/>
  <c r="E5" i="10" s="1"/>
  <c r="N15" i="5"/>
  <c r="N19" i="5"/>
  <c r="F60" i="5"/>
  <c r="F59" i="5" s="1"/>
  <c r="F65" i="4"/>
  <c r="F75" i="4" s="1"/>
  <c r="D5" i="10" s="1"/>
  <c r="D22" i="10" s="1"/>
  <c r="F65" i="8"/>
  <c r="F75" i="8" s="1"/>
  <c r="C5" i="10" s="1"/>
  <c r="C22" i="10" s="1"/>
  <c r="E9" i="9"/>
  <c r="F11" i="10" s="1"/>
  <c r="F60" i="8"/>
  <c r="F59" i="8" s="1"/>
  <c r="E15" i="9"/>
  <c r="E11" i="9"/>
  <c r="F12" i="10" s="1"/>
  <c r="U25" i="5" l="1"/>
  <c r="U28" i="5"/>
  <c r="F69" i="5"/>
  <c r="F79" i="5"/>
  <c r="L24" i="5" s="1"/>
  <c r="L25" i="5" s="1"/>
  <c r="L40" i="5" s="1"/>
  <c r="F79" i="4"/>
  <c r="L24" i="4"/>
  <c r="F79" i="8"/>
  <c r="L24" i="8" s="1"/>
  <c r="L25" i="8" s="1"/>
  <c r="H6" i="9"/>
  <c r="I14" i="9" s="1"/>
  <c r="K14" i="9" s="1"/>
  <c r="N34" i="5"/>
  <c r="E13" i="10" s="1"/>
  <c r="N44" i="5"/>
  <c r="N46" i="5" s="1"/>
  <c r="E17" i="10" s="1"/>
  <c r="E28" i="10" s="1"/>
  <c r="N38" i="5"/>
  <c r="N22" i="5"/>
  <c r="E12" i="10" s="1"/>
  <c r="F69" i="8"/>
  <c r="E23" i="9"/>
  <c r="E18" i="9"/>
  <c r="F69" i="4"/>
  <c r="F14" i="10" l="1"/>
  <c r="E25" i="9"/>
  <c r="E24" i="9" s="1"/>
  <c r="H8" i="9" s="1"/>
  <c r="E21" i="10"/>
  <c r="E23" i="10"/>
  <c r="E27" i="10"/>
  <c r="E25" i="10"/>
  <c r="E32" i="10"/>
  <c r="E22" i="10"/>
  <c r="E29" i="10"/>
  <c r="E26" i="10"/>
  <c r="E24" i="10"/>
  <c r="E30" i="10"/>
  <c r="E14" i="10"/>
  <c r="L33" i="8"/>
  <c r="L34" i="8" s="1"/>
  <c r="I12" i="9"/>
  <c r="K12" i="9" s="1"/>
  <c r="I15" i="9"/>
  <c r="K15" i="9" s="1"/>
  <c r="I13" i="9"/>
  <c r="K13" i="9" s="1"/>
  <c r="L25" i="4"/>
  <c r="L39" i="5"/>
  <c r="N12" i="5" s="1"/>
  <c r="N13" i="5" s="1"/>
  <c r="N40" i="5" s="1"/>
  <c r="E31" i="10" l="1"/>
  <c r="E16" i="10"/>
  <c r="L34" i="4"/>
  <c r="L46" i="4" s="1"/>
  <c r="L43" i="8"/>
  <c r="N39" i="5"/>
  <c r="N41" i="5" s="1"/>
  <c r="N48" i="5"/>
  <c r="I16" i="9"/>
  <c r="L47" i="4" l="1"/>
  <c r="D16" i="10"/>
  <c r="D33" i="10" s="1"/>
  <c r="D34" i="10" s="1"/>
  <c r="H20" i="9"/>
  <c r="H33" i="9" s="1"/>
  <c r="H35" i="9" s="1"/>
  <c r="F17" i="10" s="1"/>
  <c r="H23" i="9"/>
  <c r="H25" i="9" s="1"/>
  <c r="N49" i="5"/>
  <c r="L44" i="8"/>
  <c r="C16" i="10"/>
  <c r="C33" i="10" s="1"/>
  <c r="C34" i="10" s="1"/>
  <c r="L33" i="4"/>
  <c r="H9" i="9"/>
  <c r="K16" i="9" s="1"/>
  <c r="F15" i="10" l="1"/>
  <c r="F30" i="10"/>
  <c r="F27" i="10"/>
  <c r="F26" i="10"/>
  <c r="F25" i="10"/>
  <c r="F24" i="10"/>
  <c r="F23" i="10"/>
  <c r="F22" i="10"/>
  <c r="F21" i="10"/>
  <c r="F29" i="10"/>
  <c r="F28" i="10"/>
  <c r="F31" i="10"/>
  <c r="F32" i="10"/>
  <c r="E33" i="10"/>
  <c r="E34" i="10" s="1"/>
  <c r="J16" i="9"/>
  <c r="H29" i="9"/>
  <c r="H37" i="9" s="1"/>
  <c r="F16" i="10" s="1"/>
  <c r="F33" i="10" s="1"/>
  <c r="F34" i="10" l="1"/>
  <c r="H30" i="9"/>
  <c r="H38" i="9"/>
</calcChain>
</file>

<file path=xl/sharedStrings.xml><?xml version="1.0" encoding="utf-8"?>
<sst xmlns="http://schemas.openxmlformats.org/spreadsheetml/2006/main" count="655" uniqueCount="200">
  <si>
    <t>Resa</t>
  </si>
  <si>
    <t>t/ha</t>
  </si>
  <si>
    <t>Preparazione del terreno</t>
  </si>
  <si>
    <t>-aratura</t>
  </si>
  <si>
    <t>Lavorazione superficiale</t>
  </si>
  <si>
    <t>Semina</t>
  </si>
  <si>
    <t>Concimazione pre-semina</t>
  </si>
  <si>
    <t>ore uomo / ha</t>
  </si>
  <si>
    <t>Costo del gasolio</t>
  </si>
  <si>
    <t>Costo del lavoro orario</t>
  </si>
  <si>
    <t>costo concime €/kg</t>
  </si>
  <si>
    <t>kg concime / ha</t>
  </si>
  <si>
    <t>costo prodotto €/kg</t>
  </si>
  <si>
    <t>kg prodotto / ha</t>
  </si>
  <si>
    <t>costo semi €/kg</t>
  </si>
  <si>
    <t>kg semi / ha</t>
  </si>
  <si>
    <t>Costo preparazione terreno</t>
  </si>
  <si>
    <t>Costo lavorazione superficiale</t>
  </si>
  <si>
    <t>Costo concimazione pre-semina</t>
  </si>
  <si>
    <t>Costo semina</t>
  </si>
  <si>
    <t>Lavorazione terreno</t>
  </si>
  <si>
    <t>Concimazioni</t>
  </si>
  <si>
    <t>Raccolta</t>
  </si>
  <si>
    <t>€/ha</t>
  </si>
  <si>
    <t>€/t</t>
  </si>
  <si>
    <t>Totale</t>
  </si>
  <si>
    <t>€/l</t>
  </si>
  <si>
    <t>€/ora</t>
  </si>
  <si>
    <t>Costo prima concimazione post semina</t>
  </si>
  <si>
    <t>Costo seconda concimazione post semina</t>
  </si>
  <si>
    <t>Costo terza ed ultima concimazione post semina</t>
  </si>
  <si>
    <t>Ultima concimazione (fine aprile)</t>
  </si>
  <si>
    <t>Costo diserbo post emergenza</t>
  </si>
  <si>
    <t>Attività</t>
  </si>
  <si>
    <t>Unità di misura</t>
  </si>
  <si>
    <t>Effetti delle rese sui costi unitari</t>
  </si>
  <si>
    <t>Elementi dei costi di produzione</t>
  </si>
  <si>
    <t>Seconda concimazione (fine febbraio)</t>
  </si>
  <si>
    <t>Terza concimazione (fine marzo)</t>
  </si>
  <si>
    <t>Raccolta e sistemazione</t>
  </si>
  <si>
    <t>Costo raccolta e sistemazione</t>
  </si>
  <si>
    <t>Letame</t>
  </si>
  <si>
    <t>euro per ettaro</t>
  </si>
  <si>
    <t>C/T?</t>
  </si>
  <si>
    <t>sì</t>
  </si>
  <si>
    <t>no</t>
  </si>
  <si>
    <t>Costo CT, €/ha</t>
  </si>
  <si>
    <t>consumo macchina, l</t>
  </si>
  <si>
    <t>costo input, €</t>
  </si>
  <si>
    <t>euro</t>
  </si>
  <si>
    <t>input, kg</t>
  </si>
  <si>
    <t>contoterzisti, €</t>
  </si>
  <si>
    <t>Ettari dedicati alla coltura</t>
  </si>
  <si>
    <t>ha</t>
  </si>
  <si>
    <t>Totali</t>
  </si>
  <si>
    <t>ore uomo, ore</t>
  </si>
  <si>
    <t>costo carburante, €</t>
  </si>
  <si>
    <t>costo del lavoro, €</t>
  </si>
  <si>
    <t>consumo macchina, l/ora</t>
  </si>
  <si>
    <t>Totale, per tutti gli ettari coltivati</t>
  </si>
  <si>
    <t>Fase agricola (biologica) di coltivazione dei grani da macinare</t>
  </si>
  <si>
    <t>Popolazione 1</t>
  </si>
  <si>
    <t>Altri costi</t>
  </si>
  <si>
    <t>Affitto terreno</t>
  </si>
  <si>
    <t>Totale altri costi</t>
  </si>
  <si>
    <t>altri costi</t>
  </si>
  <si>
    <t>Le filiere</t>
  </si>
  <si>
    <t>La commercializzazione del seme</t>
  </si>
  <si>
    <t>Produzione e vendita farina</t>
  </si>
  <si>
    <t>Produzione e vendita pane</t>
  </si>
  <si>
    <t>granella disponibile, t</t>
  </si>
  <si>
    <t>quota filiera, %</t>
  </si>
  <si>
    <t>kg</t>
  </si>
  <si>
    <t>capacità confezioni, kg</t>
  </si>
  <si>
    <t>n° confezioni</t>
  </si>
  <si>
    <t>costo confezioni, €</t>
  </si>
  <si>
    <t>altri costi, €/t</t>
  </si>
  <si>
    <t>Totale costi, €</t>
  </si>
  <si>
    <t>Costo di macinazione, €</t>
  </si>
  <si>
    <t>Resa alla macinazione, %</t>
  </si>
  <si>
    <t>Farina ottenuta, kg</t>
  </si>
  <si>
    <t>Costo analisi, €</t>
  </si>
  <si>
    <t>Analisi, €/kg di farina</t>
  </si>
  <si>
    <t>costo a confezione, €/confezione</t>
  </si>
  <si>
    <t>costo del lavoro di confezionamento, €</t>
  </si>
  <si>
    <t>Altri costi,€</t>
  </si>
  <si>
    <t>Ricavo - Costi, €</t>
  </si>
  <si>
    <t>Ricavo - Costi, % sui costi</t>
  </si>
  <si>
    <t>altri costi, incluse utenze, spese generali,trasporti, €/kg di farina</t>
  </si>
  <si>
    <t>tempo dedicato al confezionamento, h/t di farina</t>
  </si>
  <si>
    <t>Granella: prodotta o acquistata?</t>
  </si>
  <si>
    <t>prodotta</t>
  </si>
  <si>
    <t>acquistata</t>
  </si>
  <si>
    <t>Costo granella, €/t</t>
  </si>
  <si>
    <t>Costo granella, €</t>
  </si>
  <si>
    <t>Costo farina, €</t>
  </si>
  <si>
    <t>Prezzo di vendita del pane, €/kg</t>
  </si>
  <si>
    <t>Ricetta</t>
  </si>
  <si>
    <t>€</t>
  </si>
  <si>
    <t>%</t>
  </si>
  <si>
    <t>€ /kg</t>
  </si>
  <si>
    <t>Calo durante la cottura, %</t>
  </si>
  <si>
    <t>capacità produttiva, kg pane al giorno</t>
  </si>
  <si>
    <t>n° giorni necessari per produrre il pane</t>
  </si>
  <si>
    <t>Altri costi del panificio (produzione PANE)</t>
  </si>
  <si>
    <t>Altri costi, parametrati per i giorni, €</t>
  </si>
  <si>
    <t>Totale costi</t>
  </si>
  <si>
    <t>Totale costi per kg di farina prodotta, €/kg</t>
  </si>
  <si>
    <t>Totale costi per kg di pane prodotto, €/kg</t>
  </si>
  <si>
    <t>n° giorni di produzione all'anno</t>
  </si>
  <si>
    <t>Prezzo di vendita della granella, €/t</t>
  </si>
  <si>
    <t xml:space="preserve">Resa  al netto dello scarto </t>
  </si>
  <si>
    <t>La commercializzazione della granella da macinare</t>
  </si>
  <si>
    <t>altri costi (certificazioni, ecc.), €/t</t>
  </si>
  <si>
    <t>Totale costi, €/t</t>
  </si>
  <si>
    <t>input granella, kg</t>
  </si>
  <si>
    <t>Totale costi, €/t , inclusa granella da macinare, €/t</t>
  </si>
  <si>
    <t>seme disponibile, t</t>
  </si>
  <si>
    <t>Granella destinata alla produzione della farina</t>
  </si>
  <si>
    <t>N° confezioni</t>
  </si>
  <si>
    <t>Grammatura confezioni (media ponderata), kg</t>
  </si>
  <si>
    <t>Costo pack, €/unità</t>
  </si>
  <si>
    <t>Grammatura, kg/conf.</t>
  </si>
  <si>
    <t>Costo complessivo</t>
  </si>
  <si>
    <t>peso medio  ponderato confezioni, kg</t>
  </si>
  <si>
    <t>Prezzo di vendita in €/kg</t>
  </si>
  <si>
    <t>Prezzo di vendita della farina (ponderato), €/kg</t>
  </si>
  <si>
    <t>Costo di macinazione, €/kg di GRANELLA PROCESSATA</t>
  </si>
  <si>
    <t>Costo di macinazione, €/kg DI GRANELLA PROCESSATA</t>
  </si>
  <si>
    <t>Alcuni costi aggiuntivi relativi alla granella</t>
  </si>
  <si>
    <t>Input granella, kg</t>
  </si>
  <si>
    <t>Totale costi, €/t  di farina</t>
  </si>
  <si>
    <t>Totale costi, €/t di granella</t>
  </si>
  <si>
    <t>Annui, €</t>
  </si>
  <si>
    <t>Giornalieri, €</t>
  </si>
  <si>
    <t>costo preparazione e trasporto della granella, €/t</t>
  </si>
  <si>
    <t>costo preparazione e trasporto della granella, €</t>
  </si>
  <si>
    <t>Volume complessivo di farina confezionata</t>
  </si>
  <si>
    <t>Costo etichetta, €/unità</t>
  </si>
  <si>
    <t>Calcolo costo confezioni (il volume totale deve corrispondere come ordine di grandezza al volume di sfarinato - cella U26)</t>
  </si>
  <si>
    <r>
      <t xml:space="preserve">Totale costi, € </t>
    </r>
    <r>
      <rPr>
        <b/>
        <sz val="9"/>
        <color theme="1"/>
        <rFont val="Calibri"/>
        <family val="2"/>
        <scheme val="minor"/>
      </rPr>
      <t>[granella+macinazione  + analisi + altri costi]</t>
    </r>
  </si>
  <si>
    <t>Analisi, certificazioni ecc., €/kg di farina</t>
  </si>
  <si>
    <t>Impasto totale, kg, €/kg e €, inclusa farina</t>
  </si>
  <si>
    <t>kg pane prodotto, all'anno</t>
  </si>
  <si>
    <t>B. Ricavo (PAC), €/ha</t>
  </si>
  <si>
    <t>A+B. Ricavi totali, €</t>
  </si>
  <si>
    <t>A. Ricavo dalla vendita del pane, €</t>
  </si>
  <si>
    <t>B. Altri ricavi collegati alla filiera pane, €</t>
  </si>
  <si>
    <t>Costi di certificazione, €/anno</t>
  </si>
  <si>
    <t>Costo confezioni con etichette, € / anno</t>
  </si>
  <si>
    <t>A. Ricavo dalla vendita della farina, € / anno</t>
  </si>
  <si>
    <t>B. Altri ricavi e contributi, € / anno</t>
  </si>
  <si>
    <t>A+B. Ricavi totali, € / anno</t>
  </si>
  <si>
    <t>Ricavo - Costi, € /anno</t>
  </si>
  <si>
    <t>costo preparazione del seme, € / anno</t>
  </si>
  <si>
    <t>costo confezioni, € / anno</t>
  </si>
  <si>
    <t>Totale costi, € / anno</t>
  </si>
  <si>
    <t>C. Altri ricavi, € /anno</t>
  </si>
  <si>
    <t>A+B+C - Ricavi totali, €/anno</t>
  </si>
  <si>
    <t>Ricavo - Costi, € / anno</t>
  </si>
  <si>
    <t>Gestione infestanti e patologie</t>
  </si>
  <si>
    <t>- altre preparazioni e spietramento del letto di semina</t>
  </si>
  <si>
    <t>altri costi (certificazioni, domande PAC, domande gasolio ecc.), €</t>
  </si>
  <si>
    <t>B. Ricavo (PAC, greening, indennità aziendale, ecc.), €/ha</t>
  </si>
  <si>
    <t>B. Ricavo (PAC, greening, indennità aziendale, ecc.), € / anno</t>
  </si>
  <si>
    <t>altri costi (certificazioni, domande PAC, domande gasolio ecc.), €/ha</t>
  </si>
  <si>
    <t>A. Ricavo (PLV), € / anno</t>
  </si>
  <si>
    <t>Prezzo di vendita del seme prodotto, €/t</t>
  </si>
  <si>
    <t>costo preparazione e trasporto della granella, € / anno</t>
  </si>
  <si>
    <t>B. Ricavo (PAC), € / anno</t>
  </si>
  <si>
    <t>Altri costi agricoli</t>
  </si>
  <si>
    <t>Costi di seconda trasformazione: panificazione</t>
  </si>
  <si>
    <t>Dati in percentuale sul totale ricavi</t>
  </si>
  <si>
    <t>Produzione seme</t>
  </si>
  <si>
    <t>Produzione granella da macinare</t>
  </si>
  <si>
    <t>Produzione farina</t>
  </si>
  <si>
    <t>Dati in euro (LIVELLI)</t>
  </si>
  <si>
    <t>Lavorazione del terreno</t>
  </si>
  <si>
    <t>Costi vari, manutenzioni, pulizia granella e attrezzi, ecc.</t>
  </si>
  <si>
    <t>costi produzione agricola, €/t</t>
  </si>
  <si>
    <t>costi produzione agricola, € / anno</t>
  </si>
  <si>
    <t>Altri costi (lavorazione semi,confezionamento, PAC, certificazioni, ecc.)</t>
  </si>
  <si>
    <t>Ricavi totali</t>
  </si>
  <si>
    <t xml:space="preserve">Ricavi (totali) - costi </t>
  </si>
  <si>
    <t>altri costi, €/anno</t>
  </si>
  <si>
    <t>altri costi, €/ anno</t>
  </si>
  <si>
    <t>costo preparazione e trasporto del seme, €/t</t>
  </si>
  <si>
    <t>Costi di prima trasformazione: molitura, incluse analisi, ecc</t>
  </si>
  <si>
    <t>Costo di confezionamento</t>
  </si>
  <si>
    <t>Altri costi prima trasformazione</t>
  </si>
  <si>
    <t>altri costi, incluse utenze, ,trasporti, €/kg di farina</t>
  </si>
  <si>
    <t>Volume farina trasformata in pane, kg</t>
  </si>
  <si>
    <t>Acquisto granella</t>
  </si>
  <si>
    <t>Ricavi (totali) - costi  in percentuale dei ricavi</t>
  </si>
  <si>
    <t>Foglio di calcolo costi e ricavi</t>
  </si>
  <si>
    <t>Produzione sementiera</t>
  </si>
  <si>
    <t>Produzione di granella da macinare</t>
  </si>
  <si>
    <t>Integrazione verticale di produzione agricola e produzione farina</t>
  </si>
  <si>
    <t>Acquisto di granella e produzione di pane</t>
  </si>
  <si>
    <t>Costo preparazione e trasporto della granella, €/t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</si>
</sst>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_-* #,##0.000_-;\-* #,##0.000_-;_-* &quot;-&quot;??_-;_-@_-"/>
    <numFmt numFmtId="167" formatCode="_-* #,##0.0_-;\-* #,##0.0_-;_-* &quot;-&quot;?_-;_-@_-"/>
    <numFmt numFmtId="168" formatCode="0.0"/>
    <numFmt numFmtId="169" formatCode="#,##0.00\ &quot;€&quot;"/>
    <numFmt numFmtId="170" formatCode="_-* #,##0.0\ _€_-;\-* #,##0.0\ _€_-;_-* &quot;-&quot;?\ _€_-;_-@_-"/>
    <numFmt numFmtId="171" formatCode="_-* #,##0\ _€_-;\-* #,##0\ _€_-;_-* &quot;-&quot;?\ _€_-;_-@_-"/>
    <numFmt numFmtId="172" formatCode="_-* #,##0_-;\-* #,##0_-;_-* &quot;-&quot;??_-;_-@_-"/>
    <numFmt numFmtId="173" formatCode="#,##0.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36"/>
      <color rgb="FF87A02C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quotePrefix="1"/>
    <xf numFmtId="0" fontId="1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165" fontId="1" fillId="0" borderId="1" xfId="1" applyNumberFormat="1" applyFont="1" applyBorder="1"/>
    <xf numFmtId="165" fontId="0" fillId="0" borderId="0" xfId="1" applyNumberFormat="1" applyFont="1"/>
    <xf numFmtId="0" fontId="0" fillId="4" borderId="1" xfId="0" applyFill="1" applyBorder="1"/>
    <xf numFmtId="0" fontId="1" fillId="4" borderId="1" xfId="0" quotePrefix="1" applyFont="1" applyFill="1" applyBorder="1"/>
    <xf numFmtId="165" fontId="1" fillId="4" borderId="1" xfId="1" applyNumberFormat="1" applyFont="1" applyFill="1" applyBorder="1"/>
    <xf numFmtId="0" fontId="0" fillId="5" borderId="1" xfId="0" applyFill="1" applyBorder="1"/>
    <xf numFmtId="0" fontId="1" fillId="5" borderId="1" xfId="0" quotePrefix="1" applyFont="1" applyFill="1" applyBorder="1"/>
    <xf numFmtId="0" fontId="0" fillId="6" borderId="1" xfId="0" applyFill="1" applyBorder="1"/>
    <xf numFmtId="0" fontId="1" fillId="6" borderId="1" xfId="0" quotePrefix="1" applyFont="1" applyFill="1" applyBorder="1"/>
    <xf numFmtId="0" fontId="1" fillId="6" borderId="1" xfId="0" applyFont="1" applyFill="1" applyBorder="1"/>
    <xf numFmtId="0" fontId="0" fillId="7" borderId="1" xfId="0" applyFill="1" applyBorder="1"/>
    <xf numFmtId="0" fontId="1" fillId="8" borderId="1" xfId="0" applyFont="1" applyFill="1" applyBorder="1"/>
    <xf numFmtId="0" fontId="0" fillId="8" borderId="1" xfId="0" applyFill="1" applyBorder="1"/>
    <xf numFmtId="0" fontId="0" fillId="8" borderId="1" xfId="0" quotePrefix="1" applyFill="1" applyBorder="1"/>
    <xf numFmtId="0" fontId="1" fillId="8" borderId="1" xfId="0" quotePrefix="1" applyFont="1" applyFill="1" applyBorder="1"/>
    <xf numFmtId="165" fontId="1" fillId="8" borderId="1" xfId="1" applyNumberFormat="1" applyFont="1" applyFill="1" applyBorder="1"/>
    <xf numFmtId="0" fontId="0" fillId="5" borderId="1" xfId="0" applyFill="1" applyBorder="1" applyAlignment="1">
      <alignment wrapText="1"/>
    </xf>
    <xf numFmtId="0" fontId="1" fillId="7" borderId="1" xfId="0" quotePrefix="1" applyFont="1" applyFill="1" applyBorder="1"/>
    <xf numFmtId="0" fontId="1" fillId="7" borderId="1" xfId="0" applyFont="1" applyFill="1" applyBorder="1"/>
    <xf numFmtId="43" fontId="0" fillId="0" borderId="0" xfId="0" applyNumberFormat="1"/>
    <xf numFmtId="167" fontId="0" fillId="0" borderId="0" xfId="0" applyNumberFormat="1"/>
    <xf numFmtId="165" fontId="1" fillId="0" borderId="1" xfId="1" applyNumberFormat="1" applyFont="1" applyBorder="1" applyAlignment="1">
      <alignment wrapText="1"/>
    </xf>
    <xf numFmtId="165" fontId="0" fillId="8" borderId="1" xfId="1" applyNumberFormat="1" applyFont="1" applyFill="1" applyBorder="1" applyProtection="1">
      <protection locked="0"/>
    </xf>
    <xf numFmtId="166" fontId="0" fillId="4" borderId="1" xfId="1" applyNumberFormat="1" applyFont="1" applyFill="1" applyBorder="1" applyProtection="1">
      <protection locked="0"/>
    </xf>
    <xf numFmtId="165" fontId="0" fillId="4" borderId="1" xfId="1" applyNumberFormat="1" applyFont="1" applyFill="1" applyBorder="1" applyProtection="1">
      <protection locked="0"/>
    </xf>
    <xf numFmtId="165" fontId="0" fillId="0" borderId="0" xfId="0" applyNumberFormat="1"/>
    <xf numFmtId="168" fontId="1" fillId="0" borderId="0" xfId="0" applyNumberFormat="1" applyFont="1"/>
    <xf numFmtId="1" fontId="0" fillId="0" borderId="0" xfId="0" applyNumberFormat="1"/>
    <xf numFmtId="165" fontId="0" fillId="10" borderId="1" xfId="1" applyNumberFormat="1" applyFont="1" applyFill="1" applyBorder="1" applyProtection="1">
      <protection locked="0"/>
    </xf>
    <xf numFmtId="43" fontId="0" fillId="10" borderId="1" xfId="1" applyFont="1" applyFill="1" applyBorder="1" applyProtection="1">
      <protection locked="0"/>
    </xf>
    <xf numFmtId="165" fontId="5" fillId="11" borderId="1" xfId="1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9" fontId="0" fillId="0" borderId="1" xfId="2" applyFont="1" applyBorder="1"/>
    <xf numFmtId="9" fontId="0" fillId="0" borderId="1" xfId="2" applyFont="1" applyFill="1" applyBorder="1"/>
    <xf numFmtId="0" fontId="0" fillId="0" borderId="2" xfId="0" applyBorder="1"/>
    <xf numFmtId="0" fontId="0" fillId="0" borderId="3" xfId="0" applyBorder="1"/>
    <xf numFmtId="165" fontId="0" fillId="0" borderId="0" xfId="1" applyNumberFormat="1" applyFont="1" applyFill="1"/>
    <xf numFmtId="0" fontId="0" fillId="2" borderId="4" xfId="0" applyFill="1" applyBorder="1"/>
    <xf numFmtId="0" fontId="0" fillId="10" borderId="4" xfId="0" applyFill="1" applyBorder="1" applyProtection="1">
      <protection locked="0"/>
    </xf>
    <xf numFmtId="165" fontId="6" fillId="12" borderId="1" xfId="1" applyNumberFormat="1" applyFont="1" applyFill="1" applyBorder="1" applyAlignment="1">
      <alignment horizontal="center" wrapText="1"/>
    </xf>
    <xf numFmtId="165" fontId="6" fillId="12" borderId="1" xfId="1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0" fontId="1" fillId="10" borderId="1" xfId="0" quotePrefix="1" applyFont="1" applyFill="1" applyBorder="1" applyAlignment="1">
      <alignment horizontal="right"/>
    </xf>
    <xf numFmtId="165" fontId="1" fillId="0" borderId="1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 wrapText="1"/>
    </xf>
    <xf numFmtId="165" fontId="0" fillId="0" borderId="1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quotePrefix="1" applyFont="1"/>
    <xf numFmtId="165" fontId="1" fillId="0" borderId="0" xfId="1" applyNumberFormat="1" applyFont="1" applyFill="1" applyBorder="1"/>
    <xf numFmtId="165" fontId="1" fillId="0" borderId="0" xfId="1" applyNumberFormat="1" applyFont="1" applyFill="1" applyBorder="1" applyAlignment="1">
      <alignment wrapText="1"/>
    </xf>
    <xf numFmtId="165" fontId="0" fillId="0" borderId="0" xfId="1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9" fontId="1" fillId="10" borderId="1" xfId="0" quotePrefix="1" applyNumberFormat="1" applyFont="1" applyFill="1" applyBorder="1"/>
    <xf numFmtId="0" fontId="0" fillId="0" borderId="1" xfId="0" quotePrefix="1" applyBorder="1" applyAlignment="1">
      <alignment horizontal="center"/>
    </xf>
    <xf numFmtId="169" fontId="1" fillId="8" borderId="1" xfId="0" applyNumberFormat="1" applyFont="1" applyFill="1" applyBorder="1" applyAlignment="1">
      <alignment horizontal="right"/>
    </xf>
    <xf numFmtId="169" fontId="1" fillId="0" borderId="1" xfId="0" applyNumberFormat="1" applyFont="1" applyBorder="1" applyAlignment="1">
      <alignment horizontal="right"/>
    </xf>
    <xf numFmtId="170" fontId="1" fillId="8" borderId="1" xfId="0" applyNumberFormat="1" applyFont="1" applyFill="1" applyBorder="1" applyAlignment="1">
      <alignment horizontal="right"/>
    </xf>
    <xf numFmtId="164" fontId="1" fillId="8" borderId="1" xfId="0" applyNumberFormat="1" applyFont="1" applyFill="1" applyBorder="1" applyAlignment="1">
      <alignment horizontal="right"/>
    </xf>
    <xf numFmtId="164" fontId="0" fillId="0" borderId="0" xfId="0" applyNumberFormat="1"/>
    <xf numFmtId="0" fontId="1" fillId="4" borderId="1" xfId="0" applyFont="1" applyFill="1" applyBorder="1"/>
    <xf numFmtId="164" fontId="0" fillId="0" borderId="0" xfId="0" quotePrefix="1" applyNumberFormat="1"/>
    <xf numFmtId="170" fontId="0" fillId="0" borderId="0" xfId="0" applyNumberFormat="1"/>
    <xf numFmtId="43" fontId="1" fillId="8" borderId="1" xfId="1" applyFont="1" applyFill="1" applyBorder="1" applyAlignment="1">
      <alignment horizontal="right"/>
    </xf>
    <xf numFmtId="0" fontId="1" fillId="4" borderId="10" xfId="0" applyFont="1" applyFill="1" applyBorder="1" applyAlignment="1">
      <alignment horizontal="center" vertical="center"/>
    </xf>
    <xf numFmtId="0" fontId="0" fillId="0" borderId="10" xfId="0" quotePrefix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43" fontId="1" fillId="0" borderId="0" xfId="0" applyNumberFormat="1" applyFont="1"/>
    <xf numFmtId="9" fontId="0" fillId="0" borderId="0" xfId="0" applyNumberFormat="1"/>
    <xf numFmtId="164" fontId="1" fillId="0" borderId="0" xfId="0" applyNumberFormat="1" applyFont="1"/>
    <xf numFmtId="0" fontId="1" fillId="13" borderId="8" xfId="0" quotePrefix="1" applyFont="1" applyFill="1" applyBorder="1"/>
    <xf numFmtId="0" fontId="1" fillId="13" borderId="1" xfId="0" applyFont="1" applyFill="1" applyBorder="1"/>
    <xf numFmtId="165" fontId="1" fillId="13" borderId="1" xfId="1" applyNumberFormat="1" applyFont="1" applyFill="1" applyBorder="1"/>
    <xf numFmtId="0" fontId="1" fillId="13" borderId="8" xfId="0" quotePrefix="1" applyFont="1" applyFill="1" applyBorder="1" applyAlignment="1">
      <alignment horizontal="right"/>
    </xf>
    <xf numFmtId="169" fontId="1" fillId="13" borderId="8" xfId="0" quotePrefix="1" applyNumberFormat="1" applyFont="1" applyFill="1" applyBorder="1"/>
    <xf numFmtId="0" fontId="0" fillId="13" borderId="8" xfId="0" quotePrefix="1" applyFill="1" applyBorder="1"/>
    <xf numFmtId="0" fontId="0" fillId="13" borderId="1" xfId="0" applyFill="1" applyBorder="1"/>
    <xf numFmtId="0" fontId="1" fillId="14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9" fontId="0" fillId="10" borderId="1" xfId="2" applyFont="1" applyFill="1" applyBorder="1"/>
    <xf numFmtId="0" fontId="0" fillId="16" borderId="1" xfId="0" applyFill="1" applyBorder="1"/>
    <xf numFmtId="165" fontId="0" fillId="0" borderId="1" xfId="0" applyNumberFormat="1" applyBorder="1"/>
    <xf numFmtId="170" fontId="1" fillId="0" borderId="1" xfId="0" applyNumberFormat="1" applyFont="1" applyBorder="1"/>
    <xf numFmtId="9" fontId="1" fillId="0" borderId="1" xfId="0" applyNumberFormat="1" applyFont="1" applyBorder="1"/>
    <xf numFmtId="9" fontId="1" fillId="0" borderId="1" xfId="2" applyFont="1" applyFill="1" applyBorder="1"/>
    <xf numFmtId="171" fontId="0" fillId="0" borderId="1" xfId="0" applyNumberFormat="1" applyBorder="1"/>
    <xf numFmtId="171" fontId="1" fillId="14" borderId="1" xfId="0" applyNumberFormat="1" applyFont="1" applyFill="1" applyBorder="1"/>
    <xf numFmtId="168" fontId="0" fillId="0" borderId="0" xfId="0" applyNumberFormat="1"/>
    <xf numFmtId="170" fontId="1" fillId="14" borderId="1" xfId="0" applyNumberFormat="1" applyFont="1" applyFill="1" applyBorder="1"/>
    <xf numFmtId="2" fontId="1" fillId="0" borderId="1" xfId="0" applyNumberFormat="1" applyFont="1" applyBorder="1"/>
    <xf numFmtId="1" fontId="1" fillId="0" borderId="1" xfId="0" applyNumberFormat="1" applyFont="1" applyBorder="1"/>
    <xf numFmtId="9" fontId="1" fillId="9" borderId="1" xfId="2" applyFont="1" applyFill="1" applyBorder="1"/>
    <xf numFmtId="0" fontId="1" fillId="9" borderId="1" xfId="0" applyFont="1" applyFill="1" applyBorder="1"/>
    <xf numFmtId="172" fontId="1" fillId="9" borderId="1" xfId="1" applyNumberFormat="1" applyFont="1" applyFill="1" applyBorder="1"/>
    <xf numFmtId="2" fontId="0" fillId="0" borderId="1" xfId="0" applyNumberFormat="1" applyBorder="1"/>
    <xf numFmtId="168" fontId="0" fillId="0" borderId="1" xfId="0" applyNumberFormat="1" applyBorder="1"/>
    <xf numFmtId="1" fontId="0" fillId="0" borderId="1" xfId="0" applyNumberFormat="1" applyBorder="1"/>
    <xf numFmtId="1" fontId="1" fillId="8" borderId="1" xfId="0" applyNumberFormat="1" applyFont="1" applyFill="1" applyBorder="1"/>
    <xf numFmtId="172" fontId="1" fillId="14" borderId="1" xfId="0" applyNumberFormat="1" applyFont="1" applyFill="1" applyBorder="1"/>
    <xf numFmtId="172" fontId="0" fillId="14" borderId="1" xfId="0" applyNumberFormat="1" applyFill="1" applyBorder="1"/>
    <xf numFmtId="170" fontId="0" fillId="0" borderId="1" xfId="0" applyNumberFormat="1" applyBorder="1"/>
    <xf numFmtId="172" fontId="0" fillId="0" borderId="1" xfId="0" applyNumberFormat="1" applyBorder="1"/>
    <xf numFmtId="165" fontId="2" fillId="10" borderId="1" xfId="1" applyNumberFormat="1" applyFont="1" applyFill="1" applyBorder="1"/>
    <xf numFmtId="0" fontId="0" fillId="10" borderId="1" xfId="0" applyFill="1" applyBorder="1"/>
    <xf numFmtId="0" fontId="0" fillId="0" borderId="11" xfId="0" applyBorder="1"/>
    <xf numFmtId="0" fontId="0" fillId="0" borderId="14" xfId="0" applyBorder="1"/>
    <xf numFmtId="0" fontId="0" fillId="0" borderId="5" xfId="0" applyBorder="1"/>
    <xf numFmtId="170" fontId="1" fillId="14" borderId="7" xfId="0" applyNumberFormat="1" applyFont="1" applyFill="1" applyBorder="1"/>
    <xf numFmtId="0" fontId="0" fillId="0" borderId="1" xfId="0" applyBorder="1" applyAlignment="1">
      <alignment horizontal="center"/>
    </xf>
    <xf numFmtId="171" fontId="1" fillId="14" borderId="7" xfId="0" applyNumberFormat="1" applyFont="1" applyFill="1" applyBorder="1"/>
    <xf numFmtId="0" fontId="0" fillId="3" borderId="1" xfId="0" applyFill="1" applyBorder="1"/>
    <xf numFmtId="0" fontId="0" fillId="17" borderId="1" xfId="0" applyFill="1" applyBorder="1"/>
    <xf numFmtId="173" fontId="0" fillId="0" borderId="0" xfId="0" applyNumberFormat="1"/>
    <xf numFmtId="169" fontId="0" fillId="16" borderId="1" xfId="0" applyNumberFormat="1" applyFill="1" applyBorder="1"/>
    <xf numFmtId="0" fontId="0" fillId="17" borderId="1" xfId="0" applyFill="1" applyBorder="1" applyAlignment="1">
      <alignment horizontal="center"/>
    </xf>
    <xf numFmtId="173" fontId="1" fillId="0" borderId="1" xfId="0" applyNumberFormat="1" applyFont="1" applyBorder="1"/>
    <xf numFmtId="169" fontId="0" fillId="3" borderId="1" xfId="0" applyNumberFormat="1" applyFill="1" applyBorder="1"/>
    <xf numFmtId="168" fontId="1" fillId="14" borderId="1" xfId="0" applyNumberFormat="1" applyFont="1" applyFill="1" applyBorder="1"/>
    <xf numFmtId="0" fontId="0" fillId="0" borderId="1" xfId="0" applyBorder="1" applyAlignment="1">
      <alignment wrapText="1"/>
    </xf>
    <xf numFmtId="0" fontId="8" fillId="0" borderId="0" xfId="0" applyFont="1"/>
    <xf numFmtId="0" fontId="9" fillId="0" borderId="0" xfId="0" applyFont="1"/>
    <xf numFmtId="171" fontId="9" fillId="0" borderId="0" xfId="0" applyNumberFormat="1" applyFont="1"/>
    <xf numFmtId="9" fontId="9" fillId="0" borderId="0" xfId="2" applyFont="1" applyFill="1" applyBorder="1"/>
    <xf numFmtId="0" fontId="1" fillId="18" borderId="1" xfId="0" applyFont="1" applyFill="1" applyBorder="1"/>
    <xf numFmtId="0" fontId="0" fillId="18" borderId="1" xfId="0" applyFill="1" applyBorder="1"/>
    <xf numFmtId="0" fontId="1" fillId="19" borderId="1" xfId="0" applyFont="1" applyFill="1" applyBorder="1"/>
    <xf numFmtId="0" fontId="0" fillId="19" borderId="1" xfId="0" applyFill="1" applyBorder="1"/>
    <xf numFmtId="0" fontId="7" fillId="17" borderId="1" xfId="0" applyFont="1" applyFill="1" applyBorder="1"/>
    <xf numFmtId="0" fontId="7" fillId="17" borderId="1" xfId="0" applyFont="1" applyFill="1" applyBorder="1" applyAlignment="1">
      <alignment horizontal="center"/>
    </xf>
    <xf numFmtId="172" fontId="0" fillId="4" borderId="1" xfId="1" applyNumberFormat="1" applyFont="1" applyFill="1" applyBorder="1" applyProtection="1">
      <protection locked="0"/>
    </xf>
    <xf numFmtId="172" fontId="0" fillId="10" borderId="1" xfId="1" applyNumberFormat="1" applyFont="1" applyFill="1" applyBorder="1" applyProtection="1">
      <protection locked="0"/>
    </xf>
    <xf numFmtId="164" fontId="0" fillId="0" borderId="1" xfId="0" applyNumberFormat="1" applyBorder="1"/>
    <xf numFmtId="0" fontId="6" fillId="15" borderId="1" xfId="0" applyFont="1" applyFill="1" applyBorder="1"/>
    <xf numFmtId="0" fontId="6" fillId="18" borderId="1" xfId="0" applyFont="1" applyFill="1" applyBorder="1"/>
    <xf numFmtId="171" fontId="1" fillId="0" borderId="1" xfId="0" applyNumberFormat="1" applyFont="1" applyBorder="1"/>
    <xf numFmtId="0" fontId="1" fillId="20" borderId="1" xfId="0" applyFont="1" applyFill="1" applyBorder="1"/>
    <xf numFmtId="9" fontId="0" fillId="0" borderId="0" xfId="2" applyFont="1"/>
    <xf numFmtId="170" fontId="0" fillId="8" borderId="1" xfId="0" applyNumberFormat="1" applyFill="1" applyBorder="1" applyAlignment="1">
      <alignment horizontal="right"/>
    </xf>
    <xf numFmtId="165" fontId="0" fillId="0" borderId="0" xfId="1" applyNumberFormat="1" applyFont="1" applyFill="1" applyAlignment="1"/>
    <xf numFmtId="165" fontId="1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11" fillId="0" borderId="0" xfId="1" applyNumberFormat="1" applyFont="1" applyFill="1" applyAlignment="1"/>
    <xf numFmtId="172" fontId="0" fillId="0" borderId="0" xfId="0" applyNumberFormat="1"/>
    <xf numFmtId="10" fontId="0" fillId="0" borderId="0" xfId="0" applyNumberFormat="1"/>
    <xf numFmtId="1" fontId="1" fillId="0" borderId="0" xfId="0" applyNumberFormat="1" applyFont="1"/>
    <xf numFmtId="0" fontId="1" fillId="0" borderId="0" xfId="0" applyFont="1" applyAlignment="1">
      <alignment wrapText="1"/>
    </xf>
    <xf numFmtId="9" fontId="1" fillId="0" borderId="0" xfId="2" applyFont="1"/>
    <xf numFmtId="0" fontId="15" fillId="0" borderId="0" xfId="0" applyFont="1"/>
    <xf numFmtId="0" fontId="1" fillId="10" borderId="1" xfId="0" quotePrefix="1" applyFont="1" applyFill="1" applyBorder="1" applyAlignment="1" applyProtection="1">
      <alignment horizontal="right"/>
      <protection locked="0"/>
    </xf>
    <xf numFmtId="169" fontId="1" fillId="10" borderId="1" xfId="0" quotePrefix="1" applyNumberFormat="1" applyFont="1" applyFill="1" applyBorder="1" applyProtection="1">
      <protection locked="0"/>
    </xf>
    <xf numFmtId="0" fontId="1" fillId="3" borderId="1" xfId="0" quotePrefix="1" applyFont="1" applyFill="1" applyBorder="1" applyAlignment="1" applyProtection="1">
      <alignment horizontal="right"/>
      <protection locked="0"/>
    </xf>
    <xf numFmtId="165" fontId="1" fillId="8" borderId="1" xfId="1" applyNumberFormat="1" applyFont="1" applyFill="1" applyBorder="1" applyProtection="1">
      <protection locked="0"/>
    </xf>
    <xf numFmtId="165" fontId="2" fillId="10" borderId="1" xfId="1" applyNumberFormat="1" applyFont="1" applyFill="1" applyBorder="1" applyProtection="1">
      <protection locked="0"/>
    </xf>
    <xf numFmtId="9" fontId="0" fillId="10" borderId="1" xfId="2" applyFont="1" applyFill="1" applyBorder="1" applyProtection="1">
      <protection locked="0"/>
    </xf>
    <xf numFmtId="0" fontId="0" fillId="16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9" fontId="0" fillId="16" borderId="1" xfId="0" applyNumberFormat="1" applyFill="1" applyBorder="1" applyProtection="1">
      <protection locked="0"/>
    </xf>
    <xf numFmtId="9" fontId="0" fillId="16" borderId="1" xfId="2" applyFont="1" applyFill="1" applyBorder="1" applyProtection="1">
      <protection locked="0"/>
    </xf>
    <xf numFmtId="1" fontId="0" fillId="16" borderId="1" xfId="0" applyNumberFormat="1" applyFill="1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3" applyFont="1" applyProtection="1">
      <protection locked="0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165" fontId="1" fillId="7" borderId="5" xfId="1" applyNumberFormat="1" applyFont="1" applyFill="1" applyBorder="1" applyAlignment="1">
      <alignment horizontal="center"/>
    </xf>
    <xf numFmtId="165" fontId="1" fillId="7" borderId="6" xfId="1" applyNumberFormat="1" applyFont="1" applyFill="1" applyBorder="1" applyAlignment="1">
      <alignment horizontal="center"/>
    </xf>
    <xf numFmtId="0" fontId="0" fillId="8" borderId="8" xfId="0" quotePrefix="1" applyFill="1" applyBorder="1" applyAlignment="1">
      <alignment horizontal="center"/>
    </xf>
    <xf numFmtId="0" fontId="0" fillId="8" borderId="9" xfId="0" quotePrefix="1" applyFill="1" applyBorder="1" applyAlignment="1">
      <alignment horizontal="center"/>
    </xf>
    <xf numFmtId="0" fontId="0" fillId="8" borderId="10" xfId="0" quotePrefix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16" borderId="1" xfId="0" applyFill="1" applyBorder="1" applyAlignment="1" applyProtection="1">
      <alignment horizontal="center"/>
      <protection locked="0"/>
    </xf>
    <xf numFmtId="0" fontId="0" fillId="19" borderId="0" xfId="0" applyFill="1" applyAlignment="1">
      <alignment horizontal="center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92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7A02C"/>
      <color rgb="FF6699FF"/>
      <color rgb="FFFF6600"/>
      <color rgb="FF9999FF"/>
      <color rgb="FF3366CC"/>
      <color rgb="FF0099FF"/>
      <color rgb="FF00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Esempi di simulazione sulle filiere, dati in % sul totale ricavi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'Filiere - grafici'!$B$21</c:f>
              <c:strCache>
                <c:ptCount val="1"/>
                <c:pt idx="0">
                  <c:v>Lavorazione del terreno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grafici'!$C$21:$F$21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8-4841-93F3-4C200131CDE3}"/>
            </c:ext>
          </c:extLst>
        </c:ser>
        <c:ser>
          <c:idx val="1"/>
          <c:order val="1"/>
          <c:tx>
            <c:strRef>
              <c:f>'Filiere - grafici'!$B$22</c:f>
              <c:strCache>
                <c:ptCount val="1"/>
                <c:pt idx="0">
                  <c:v>Concimazioni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grafici'!$C$22:$F$22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8-4841-93F3-4C200131CDE3}"/>
            </c:ext>
          </c:extLst>
        </c:ser>
        <c:ser>
          <c:idx val="2"/>
          <c:order val="2"/>
          <c:tx>
            <c:strRef>
              <c:f>'Filiere - grafici'!$B$23</c:f>
              <c:strCache>
                <c:ptCount val="1"/>
                <c:pt idx="0">
                  <c:v>Semina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grafici'!$C$23:$F$23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8-4841-93F3-4C200131CDE3}"/>
            </c:ext>
          </c:extLst>
        </c:ser>
        <c:ser>
          <c:idx val="3"/>
          <c:order val="3"/>
          <c:tx>
            <c:strRef>
              <c:f>'Filiere - grafici'!$B$24</c:f>
              <c:strCache>
                <c:ptCount val="1"/>
                <c:pt idx="0">
                  <c:v>Gestione infestanti e patologie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grafici'!$C$24:$F$24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E8-4841-93F3-4C200131CDE3}"/>
            </c:ext>
          </c:extLst>
        </c:ser>
        <c:ser>
          <c:idx val="4"/>
          <c:order val="4"/>
          <c:tx>
            <c:strRef>
              <c:f>'Filiere - grafici'!$B$25</c:f>
              <c:strCache>
                <c:ptCount val="1"/>
                <c:pt idx="0">
                  <c:v>Raccolta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grafici'!$C$25:$F$25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E8-4841-93F3-4C200131CDE3}"/>
            </c:ext>
          </c:extLst>
        </c:ser>
        <c:ser>
          <c:idx val="5"/>
          <c:order val="5"/>
          <c:tx>
            <c:strRef>
              <c:f>'Filiere - grafici'!$B$26</c:f>
              <c:strCache>
                <c:ptCount val="1"/>
                <c:pt idx="0">
                  <c:v>Altri costi agricoli</c:v>
                </c:pt>
              </c:strCache>
            </c:strRef>
          </c:tx>
          <c:spPr>
            <a:pattFill prst="wdDnDiag">
              <a:fgClr>
                <a:srgbClr val="92D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grafici'!$C$26:$F$26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E8-4841-93F3-4C200131CDE3}"/>
            </c:ext>
          </c:extLst>
        </c:ser>
        <c:ser>
          <c:idx val="6"/>
          <c:order val="6"/>
          <c:tx>
            <c:strRef>
              <c:f>'Filiere - grafici'!$B$27</c:f>
              <c:strCache>
                <c:ptCount val="1"/>
                <c:pt idx="0">
                  <c:v>Altri costi (lavorazione semi,confezionamento, PAC, certificazioni, ecc.)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grafici'!$C$27:$F$27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8-4841-93F3-4C200131CDE3}"/>
            </c:ext>
          </c:extLst>
        </c:ser>
        <c:ser>
          <c:idx val="7"/>
          <c:order val="7"/>
          <c:tx>
            <c:strRef>
              <c:f>'Filiere - grafici'!$B$28</c:f>
              <c:strCache>
                <c:ptCount val="1"/>
                <c:pt idx="0">
                  <c:v>Acquisto granella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grafici'!$C$28:$F$28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E8-4841-93F3-4C200131CDE3}"/>
            </c:ext>
          </c:extLst>
        </c:ser>
        <c:ser>
          <c:idx val="8"/>
          <c:order val="8"/>
          <c:tx>
            <c:strRef>
              <c:f>'Filiere - grafici'!$B$29</c:f>
              <c:strCache>
                <c:ptCount val="1"/>
                <c:pt idx="0">
                  <c:v>Costi di prima trasformazione: molitura, incluse analisi, ecc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grafici'!$C$29:$F$29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E8-4841-93F3-4C200131CDE3}"/>
            </c:ext>
          </c:extLst>
        </c:ser>
        <c:ser>
          <c:idx val="9"/>
          <c:order val="9"/>
          <c:tx>
            <c:strRef>
              <c:f>'Filiere - grafici'!$B$30</c:f>
              <c:strCache>
                <c:ptCount val="1"/>
                <c:pt idx="0">
                  <c:v>Costo di confezionamento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grafici'!$C$30:$F$30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E8-4841-93F3-4C200131CDE3}"/>
            </c:ext>
          </c:extLst>
        </c:ser>
        <c:ser>
          <c:idx val="10"/>
          <c:order val="10"/>
          <c:tx>
            <c:strRef>
              <c:f>'Filiere - grafici'!$B$31</c:f>
              <c:strCache>
                <c:ptCount val="1"/>
                <c:pt idx="0">
                  <c:v>Altri costi prima trasformazione</c:v>
                </c:pt>
              </c:strCache>
            </c:strRef>
          </c:tx>
          <c:spPr>
            <a:solidFill>
              <a:srgbClr val="33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grafici'!$C$31:$F$31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E8-4841-93F3-4C200131CDE3}"/>
            </c:ext>
          </c:extLst>
        </c:ser>
        <c:ser>
          <c:idx val="11"/>
          <c:order val="11"/>
          <c:tx>
            <c:strRef>
              <c:f>'Filiere - grafici'!$B$32</c:f>
              <c:strCache>
                <c:ptCount val="1"/>
                <c:pt idx="0">
                  <c:v>Costi di seconda trasformazione: panificazione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grafici'!$C$32:$F$32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E8-4841-93F3-4C200131CDE3}"/>
            </c:ext>
          </c:extLst>
        </c:ser>
        <c:ser>
          <c:idx val="12"/>
          <c:order val="12"/>
          <c:tx>
            <c:strRef>
              <c:f>'Filiere - grafici'!$B$33</c:f>
              <c:strCache>
                <c:ptCount val="1"/>
                <c:pt idx="0">
                  <c:v>Ricavi (totali) - costi  in percentuale dei ricavi</c:v>
                </c:pt>
              </c:strCache>
            </c:strRef>
          </c:tx>
          <c:spPr>
            <a:pattFill prst="wdUpDiag">
              <a:fgClr>
                <a:schemeClr val="bg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'Filiere - grafici'!$C$20:$F$20</c:f>
              <c:strCache>
                <c:ptCount val="4"/>
                <c:pt idx="0">
                  <c:v>Produzione seme</c:v>
                </c:pt>
                <c:pt idx="1">
                  <c:v>Produzione granella da macinare</c:v>
                </c:pt>
                <c:pt idx="2">
                  <c:v>Produzione farina</c:v>
                </c:pt>
                <c:pt idx="3">
                  <c:v>Produzione e vendita pane</c:v>
                </c:pt>
              </c:strCache>
            </c:strRef>
          </c:cat>
          <c:val>
            <c:numRef>
              <c:f>'Filiere - grafici'!$C$33:$F$33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E-4A6B-9DF2-53080089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04205504"/>
        <c:axId val="1904217504"/>
      </c:barChart>
      <c:catAx>
        <c:axId val="19042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4217504"/>
        <c:crosses val="autoZero"/>
        <c:auto val="1"/>
        <c:lblAlgn val="ctr"/>
        <c:lblOffset val="100"/>
        <c:noMultiLvlLbl val="0"/>
      </c:catAx>
      <c:valAx>
        <c:axId val="19042175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0420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60270461399995"/>
          <c:y val="8.5018138656234837E-2"/>
          <c:w val="0.31904358587300941"/>
          <c:h val="0.76593008676463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64769</xdr:rowOff>
    </xdr:from>
    <xdr:to>
      <xdr:col>7</xdr:col>
      <xdr:colOff>230190</xdr:colOff>
      <xdr:row>12</xdr:row>
      <xdr:rowOff>55244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58D9DB9-CAA0-07FC-C69F-C08F8590E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245744"/>
          <a:ext cx="3525840" cy="197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361951</xdr:colOff>
      <xdr:row>10</xdr:row>
      <xdr:rowOff>133350</xdr:rowOff>
    </xdr:from>
    <xdr:to>
      <xdr:col>21</xdr:col>
      <xdr:colOff>407671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9C2611F-2784-F4CC-C35A-DC02DF4CD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ECBC-558A-4C5C-962B-F75119FB5ECB}">
  <sheetPr>
    <tabColor rgb="FFC00000"/>
  </sheetPr>
  <dimension ref="F15:G21"/>
  <sheetViews>
    <sheetView showGridLines="0" tabSelected="1" workbookViewId="0">
      <selection activeCell="C19" sqref="C19"/>
    </sheetView>
  </sheetViews>
  <sheetFormatPr defaultRowHeight="14.4" x14ac:dyDescent="0.3"/>
  <sheetData>
    <row r="15" spans="6:7" ht="46.2" x14ac:dyDescent="0.85">
      <c r="F15" s="170" t="s">
        <v>194</v>
      </c>
      <c r="G15" s="171"/>
    </row>
    <row r="16" spans="6:7" ht="23.4" x14ac:dyDescent="0.45">
      <c r="F16" s="172" t="s">
        <v>195</v>
      </c>
      <c r="G16" s="171"/>
    </row>
    <row r="17" spans="6:7" ht="23.4" x14ac:dyDescent="0.45">
      <c r="F17" s="172" t="s">
        <v>196</v>
      </c>
      <c r="G17" s="171"/>
    </row>
    <row r="18" spans="6:7" ht="23.4" x14ac:dyDescent="0.45">
      <c r="F18" s="172" t="s">
        <v>197</v>
      </c>
      <c r="G18" s="171"/>
    </row>
    <row r="19" spans="6:7" ht="23.4" x14ac:dyDescent="0.45">
      <c r="F19" s="172" t="s">
        <v>198</v>
      </c>
      <c r="G19" s="171"/>
    </row>
    <row r="20" spans="6:7" ht="23.4" x14ac:dyDescent="0.45">
      <c r="F20" s="157"/>
    </row>
    <row r="21" spans="6:7" ht="23.4" x14ac:dyDescent="0.45">
      <c r="F21" s="157"/>
    </row>
  </sheetData>
  <sheetProtection algorithmName="SHA-512" hashValue="ZuuAL9Vo3tFd6GNucAwCFJwyzrxm0bVRy/PdrAT8HvWE84xZUtZXDWuwhZLkn2oPuJ7JFzHLVJkhL1/isPHQJg==" saltValue="YBhwSypgJw4bWA8LFBbIfg==" spinCount="100000" sheet="1" objects="1" scenarios="1"/>
  <hyperlinks>
    <hyperlink ref="F16" location="Semi!A1" display="Produzione sementiera" xr:uid="{FFD0F85C-8E28-4660-AB1B-95BF470DB242}"/>
    <hyperlink ref="F17" location="'Granella da macinare'!A1" display="Produzione di granella da macinare" xr:uid="{93021882-429B-499B-AA8A-E482744D10F3}"/>
    <hyperlink ref="F18" location="'Granella + farina'!A1" display="Integrazione verticale di produzione agricola e produzione farina" xr:uid="{5FEDF76B-760F-41C6-B434-04191F0C2BDF}"/>
    <hyperlink ref="F19" location="'Farina + pane'!A1" display="Acquisto di granella e produzione di pane" xr:uid="{75C9D893-6E01-4B63-A2E2-016BDDC9735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CCA5-9B3B-410C-82B5-DBF4A4F043FD}">
  <sheetPr>
    <tabColor theme="4" tint="-0.249977111117893"/>
  </sheetPr>
  <dimension ref="D1:M120"/>
  <sheetViews>
    <sheetView zoomScale="85" zoomScaleNormal="85" workbookViewId="0">
      <pane xSplit="5" ySplit="2" topLeftCell="F3" activePane="bottomRight" state="frozen"/>
      <selection activeCell="O37" sqref="O37"/>
      <selection pane="topRight" activeCell="O37" sqref="O37"/>
      <selection pane="bottomLeft" activeCell="O37" sqref="O37"/>
      <selection pane="bottomRight" activeCell="L38" sqref="L38"/>
    </sheetView>
  </sheetViews>
  <sheetFormatPr defaultRowHeight="14.4" x14ac:dyDescent="0.3"/>
  <cols>
    <col min="1" max="1" width="2.44140625" customWidth="1"/>
    <col min="2" max="3" width="3.44140625" customWidth="1"/>
    <col min="4" max="4" width="58.21875" customWidth="1"/>
    <col min="5" max="5" width="27.5546875" customWidth="1"/>
    <col min="6" max="6" width="17.88671875" style="6" customWidth="1"/>
    <col min="7" max="7" width="5.6640625" style="52" customWidth="1"/>
    <col min="8" max="8" width="25" style="6" customWidth="1"/>
    <col min="9" max="9" width="9.21875" style="148" customWidth="1"/>
    <col min="10" max="10" width="9.77734375" customWidth="1"/>
    <col min="11" max="11" width="72.109375" customWidth="1"/>
    <col min="12" max="12" width="20.77734375" customWidth="1"/>
    <col min="13" max="13" width="14.5546875" customWidth="1"/>
    <col min="14" max="14" width="18.6640625" customWidth="1"/>
  </cols>
  <sheetData>
    <row r="1" spans="4:13" x14ac:dyDescent="0.3">
      <c r="D1" s="23" t="s">
        <v>60</v>
      </c>
      <c r="E1" s="15"/>
      <c r="F1" s="179" t="s">
        <v>36</v>
      </c>
      <c r="G1" s="180"/>
      <c r="H1" s="180"/>
      <c r="I1" s="61"/>
      <c r="K1" s="42" t="s">
        <v>8</v>
      </c>
      <c r="L1" s="42" t="s">
        <v>26</v>
      </c>
      <c r="M1" s="43"/>
    </row>
    <row r="2" spans="4:13" x14ac:dyDescent="0.3">
      <c r="D2" s="23" t="s">
        <v>33</v>
      </c>
      <c r="E2" s="23" t="s">
        <v>34</v>
      </c>
      <c r="F2" s="44" t="s">
        <v>61</v>
      </c>
      <c r="G2" s="46" t="s">
        <v>43</v>
      </c>
      <c r="H2" s="45" t="s">
        <v>46</v>
      </c>
      <c r="I2" s="61"/>
      <c r="K2" s="42" t="s">
        <v>9</v>
      </c>
      <c r="L2" s="42" t="s">
        <v>27</v>
      </c>
      <c r="M2" s="43"/>
    </row>
    <row r="3" spans="4:13" x14ac:dyDescent="0.3">
      <c r="D3" s="3" t="s">
        <v>52</v>
      </c>
      <c r="E3" s="3" t="s">
        <v>53</v>
      </c>
      <c r="F3" s="33"/>
      <c r="G3" s="114"/>
      <c r="H3" s="190" t="s">
        <v>111</v>
      </c>
      <c r="I3"/>
    </row>
    <row r="4" spans="4:13" x14ac:dyDescent="0.3">
      <c r="D4" s="3" t="s">
        <v>0</v>
      </c>
      <c r="E4" s="3" t="s">
        <v>1</v>
      </c>
      <c r="F4" s="35"/>
      <c r="G4" s="115"/>
      <c r="H4" s="191"/>
      <c r="I4" s="53"/>
    </row>
    <row r="5" spans="4:13" x14ac:dyDescent="0.3">
      <c r="D5" s="16" t="s">
        <v>2</v>
      </c>
      <c r="E5" s="17"/>
      <c r="F5" s="27"/>
      <c r="G5" s="116"/>
      <c r="H5" s="192"/>
      <c r="I5" s="1"/>
    </row>
    <row r="6" spans="4:13" x14ac:dyDescent="0.3">
      <c r="D6" s="18" t="s">
        <v>3</v>
      </c>
      <c r="E6" s="17" t="s">
        <v>7</v>
      </c>
      <c r="F6" s="33"/>
      <c r="G6" s="181"/>
      <c r="H6" s="63" t="str">
        <f>IF(AND($G$10="sì",COUNTA($F$6:$F$9)&gt;0),"CT!","OK")</f>
        <v>OK</v>
      </c>
      <c r="I6" s="70"/>
      <c r="K6" s="2" t="s">
        <v>66</v>
      </c>
      <c r="L6" s="2" t="s">
        <v>117</v>
      </c>
      <c r="M6" s="2">
        <f>F4*F3</f>
        <v>0</v>
      </c>
    </row>
    <row r="7" spans="4:13" x14ac:dyDescent="0.3">
      <c r="D7" s="18" t="s">
        <v>3</v>
      </c>
      <c r="E7" s="17" t="s">
        <v>58</v>
      </c>
      <c r="F7" s="33"/>
      <c r="G7" s="182"/>
      <c r="H7" s="63" t="str">
        <f>IF(AND($G$10="sì",COUNTA($F$6:$F$9)&gt;0),"CT!","OK")</f>
        <v>OK</v>
      </c>
      <c r="I7" s="1"/>
      <c r="J7" s="68"/>
      <c r="K7" s="86" t="s">
        <v>67</v>
      </c>
      <c r="L7" s="87"/>
    </row>
    <row r="8" spans="4:13" x14ac:dyDescent="0.3">
      <c r="D8" s="18" t="s">
        <v>161</v>
      </c>
      <c r="E8" s="17" t="s">
        <v>7</v>
      </c>
      <c r="F8" s="33"/>
      <c r="G8" s="182"/>
      <c r="H8" s="63" t="str">
        <f>IF(AND($G$10="sì",COUNTA($F$6:$F$9)&gt;0),"CT!","OK")</f>
        <v>OK</v>
      </c>
      <c r="I8" s="1"/>
      <c r="K8" s="2" t="s">
        <v>71</v>
      </c>
      <c r="L8" s="163"/>
    </row>
    <row r="9" spans="4:13" x14ac:dyDescent="0.3">
      <c r="D9" s="18" t="s">
        <v>161</v>
      </c>
      <c r="E9" s="17" t="s">
        <v>58</v>
      </c>
      <c r="F9" s="33"/>
      <c r="G9" s="183"/>
      <c r="H9" s="63" t="str">
        <f>IF(AND($G$10="sì",COUNTA($F$6:$F$9)&gt;0),"CT!","OK")</f>
        <v>OK</v>
      </c>
      <c r="I9" s="55"/>
      <c r="J9" s="76"/>
      <c r="K9" s="3" t="s">
        <v>72</v>
      </c>
      <c r="L9" s="3">
        <f>+$M$6*1000*L8</f>
        <v>0</v>
      </c>
    </row>
    <row r="10" spans="4:13" x14ac:dyDescent="0.3">
      <c r="D10" s="19" t="s">
        <v>16</v>
      </c>
      <c r="E10" s="16" t="s">
        <v>42</v>
      </c>
      <c r="F10" s="72">
        <f>IF(G10="no",F6*$M$2+F7*F6*$M$1+F8*$M$2+F9*F8*$M$1,0)</f>
        <v>0</v>
      </c>
      <c r="G10" s="158" t="s">
        <v>45</v>
      </c>
      <c r="H10" s="159"/>
      <c r="I10" t="str">
        <f>IF(G10="no","ok","INSERIRE VALORE e cancellare ore e colonna F!")</f>
        <v>ok</v>
      </c>
      <c r="K10" s="3"/>
      <c r="L10" s="3"/>
    </row>
    <row r="11" spans="4:13" x14ac:dyDescent="0.3">
      <c r="D11" s="17" t="s">
        <v>4</v>
      </c>
      <c r="E11" s="17" t="s">
        <v>7</v>
      </c>
      <c r="F11" s="33"/>
      <c r="G11" s="184"/>
      <c r="H11" s="63" t="str">
        <f>IF(AND($G$13="sì",COUNTA($F$11:$F$12)&gt;0),"CT!","OK")</f>
        <v>OK</v>
      </c>
      <c r="I11"/>
      <c r="K11" s="3"/>
      <c r="L11" s="3"/>
    </row>
    <row r="12" spans="4:13" x14ac:dyDescent="0.3">
      <c r="D12" s="17" t="s">
        <v>4</v>
      </c>
      <c r="E12" s="17" t="s">
        <v>58</v>
      </c>
      <c r="F12" s="33"/>
      <c r="G12" s="185"/>
      <c r="H12" s="63" t="str">
        <f>IF(AND($G$13="sì",COUNTA($F$11:$F$12)&gt;0),"CT!","OK")</f>
        <v>OK</v>
      </c>
      <c r="I12" s="55"/>
      <c r="J12" s="78"/>
      <c r="K12" s="3" t="s">
        <v>186</v>
      </c>
      <c r="L12" s="164"/>
    </row>
    <row r="13" spans="4:13" x14ac:dyDescent="0.3">
      <c r="D13" s="19" t="s">
        <v>17</v>
      </c>
      <c r="E13" s="16" t="s">
        <v>42</v>
      </c>
      <c r="F13" s="20">
        <f>IF(G13="no",F11*$M$2+F12*F11*$M$1,0)</f>
        <v>0</v>
      </c>
      <c r="G13" s="158" t="s">
        <v>45</v>
      </c>
      <c r="H13" s="159"/>
      <c r="I13" t="str">
        <f>IF(G13="no","ok","INSERIRE VALORE e cancellare ore e colonna F!")</f>
        <v>ok</v>
      </c>
      <c r="K13" s="2" t="s">
        <v>154</v>
      </c>
      <c r="L13" s="2">
        <f>L12*(L9/1000)</f>
        <v>0</v>
      </c>
    </row>
    <row r="14" spans="4:13" x14ac:dyDescent="0.3">
      <c r="D14" s="10" t="s">
        <v>6</v>
      </c>
      <c r="E14" s="10" t="s">
        <v>7</v>
      </c>
      <c r="F14" s="33"/>
      <c r="G14" s="176"/>
      <c r="H14" s="63" t="str">
        <f>IF(AND($G$18="sì",COUNTA($F$14:$F$17)&gt;0),"CT!","OK")</f>
        <v>OK</v>
      </c>
      <c r="I14"/>
      <c r="K14" s="3"/>
      <c r="L14" s="3"/>
    </row>
    <row r="15" spans="4:13" x14ac:dyDescent="0.3">
      <c r="D15" s="10" t="s">
        <v>6</v>
      </c>
      <c r="E15" s="10" t="s">
        <v>58</v>
      </c>
      <c r="F15" s="33"/>
      <c r="G15" s="177"/>
      <c r="H15" s="63" t="str">
        <f>IF(AND($G$18="sì",COUNTA($F$14:$F$17)&gt;0),"CT!","OK")</f>
        <v>OK</v>
      </c>
      <c r="I15"/>
      <c r="J15" s="68"/>
      <c r="K15" s="3" t="s">
        <v>73</v>
      </c>
      <c r="L15" s="165"/>
    </row>
    <row r="16" spans="4:13" x14ac:dyDescent="0.3">
      <c r="D16" s="10" t="s">
        <v>6</v>
      </c>
      <c r="E16" s="10" t="s">
        <v>10</v>
      </c>
      <c r="F16" s="34"/>
      <c r="G16" s="177"/>
      <c r="H16" s="63" t="str">
        <f>IF(AND($G$18="sì",COUNTA($F$14:$F$17)&gt;0),"CT!","OK")</f>
        <v>OK</v>
      </c>
      <c r="I16"/>
      <c r="K16" s="3" t="s">
        <v>74</v>
      </c>
      <c r="L16" s="3">
        <f>IF(L15&gt;0,L9/L15,0)</f>
        <v>0</v>
      </c>
    </row>
    <row r="17" spans="4:12" x14ac:dyDescent="0.3">
      <c r="D17" s="10" t="s">
        <v>6</v>
      </c>
      <c r="E17" s="10" t="s">
        <v>11</v>
      </c>
      <c r="F17" s="33"/>
      <c r="G17" s="178"/>
      <c r="H17" s="63" t="str">
        <f>IF(AND($G$18="sì",COUNTA($F$14:$F$17)&gt;0),"CT!","OK")</f>
        <v>OK</v>
      </c>
      <c r="I17" s="55"/>
      <c r="K17" s="3" t="s">
        <v>83</v>
      </c>
      <c r="L17" s="165"/>
    </row>
    <row r="18" spans="4:12" x14ac:dyDescent="0.3">
      <c r="D18" s="11" t="s">
        <v>18</v>
      </c>
      <c r="E18" s="16" t="s">
        <v>42</v>
      </c>
      <c r="F18" s="20">
        <f>IF(G18="no",F14*$M$2+F15*F14*$M$1+F16*F17,0)</f>
        <v>0</v>
      </c>
      <c r="G18" s="158" t="s">
        <v>45</v>
      </c>
      <c r="H18" s="159"/>
      <c r="I18" t="str">
        <f>IF(G18="no","ok","INSERIRE VALORE e cancellare ore e colonna F")</f>
        <v>ok</v>
      </c>
      <c r="K18" s="2" t="s">
        <v>155</v>
      </c>
      <c r="L18" s="2">
        <f>IF(L15&gt;0,L17*L16,0)</f>
        <v>0</v>
      </c>
    </row>
    <row r="19" spans="4:12" x14ac:dyDescent="0.3">
      <c r="D19" s="15" t="s">
        <v>5</v>
      </c>
      <c r="E19" s="15" t="s">
        <v>7</v>
      </c>
      <c r="F19" s="33"/>
      <c r="G19" s="176"/>
      <c r="H19" s="63" t="str">
        <f>IF(AND($G$23="sì",COUNTA($F$19:$F$22)&gt;0),"CT!","OK")</f>
        <v>OK</v>
      </c>
      <c r="I19"/>
      <c r="K19" s="3"/>
      <c r="L19" s="3"/>
    </row>
    <row r="20" spans="4:12" x14ac:dyDescent="0.3">
      <c r="D20" s="15" t="s">
        <v>5</v>
      </c>
      <c r="E20" s="15" t="s">
        <v>58</v>
      </c>
      <c r="F20" s="33"/>
      <c r="G20" s="177"/>
      <c r="H20" s="63" t="str">
        <f>IF(AND($G$23="sì",COUNTA($F$19:$F$22)&gt;0),"CT!","OK")</f>
        <v>OK</v>
      </c>
      <c r="I20"/>
      <c r="J20" s="68"/>
      <c r="K20" s="2" t="s">
        <v>165</v>
      </c>
      <c r="L20" s="164"/>
    </row>
    <row r="21" spans="4:12" x14ac:dyDescent="0.3">
      <c r="D21" s="15" t="s">
        <v>5</v>
      </c>
      <c r="E21" s="15" t="s">
        <v>14</v>
      </c>
      <c r="F21" s="34"/>
      <c r="G21" s="177"/>
      <c r="H21" s="63" t="str">
        <f>IF(AND($G$23="sì",COUNTA($F$19:$F$22)&gt;0),"CT!","OK")</f>
        <v>OK</v>
      </c>
      <c r="I21"/>
      <c r="K21" s="2" t="s">
        <v>162</v>
      </c>
      <c r="L21" s="144" t="e">
        <f>+L20/F3</f>
        <v>#DIV/0!</v>
      </c>
    </row>
    <row r="22" spans="4:12" x14ac:dyDescent="0.3">
      <c r="D22" s="15" t="s">
        <v>5</v>
      </c>
      <c r="E22" s="15" t="s">
        <v>15</v>
      </c>
      <c r="F22" s="33"/>
      <c r="G22" s="178"/>
      <c r="H22" s="63" t="str">
        <f>IF(AND($G$23="sì",COUNTA($F$19:$F$22)&gt;0),"CT!","OK")</f>
        <v>OK</v>
      </c>
      <c r="I22" s="55"/>
      <c r="J22" s="68"/>
      <c r="K22" s="3"/>
      <c r="L22" s="3"/>
    </row>
    <row r="23" spans="4:12" x14ac:dyDescent="0.3">
      <c r="D23" s="22" t="s">
        <v>19</v>
      </c>
      <c r="E23" s="16" t="s">
        <v>42</v>
      </c>
      <c r="F23" s="20">
        <f>IF(G23="no",F19*$M$2+F19*F20*$M$1+F21*F22,0)</f>
        <v>0</v>
      </c>
      <c r="G23" s="158" t="s">
        <v>45</v>
      </c>
      <c r="H23" s="159"/>
      <c r="I23" t="str">
        <f>IF(G23="no","ok","INSERIRE VALORE e cancellare ore e colonna F!")</f>
        <v>ok</v>
      </c>
      <c r="J23" s="71"/>
      <c r="K23" s="3"/>
      <c r="L23" s="3"/>
    </row>
    <row r="24" spans="4:12" x14ac:dyDescent="0.3">
      <c r="D24" s="7" t="s">
        <v>160</v>
      </c>
      <c r="E24" s="7" t="s">
        <v>7</v>
      </c>
      <c r="F24" s="139"/>
      <c r="G24" s="176"/>
      <c r="H24" s="63" t="str">
        <f>IF(AND($G$28="sì",COUNTA($F$24:$F$27)&gt;0),"CT!","OK")</f>
        <v>OK</v>
      </c>
      <c r="I24"/>
      <c r="K24" s="2" t="s">
        <v>179</v>
      </c>
      <c r="L24" s="91" t="e">
        <f>F79</f>
        <v>#DIV/0!</v>
      </c>
    </row>
    <row r="25" spans="4:12" x14ac:dyDescent="0.3">
      <c r="D25" s="7" t="s">
        <v>160</v>
      </c>
      <c r="E25" s="7" t="s">
        <v>58</v>
      </c>
      <c r="F25" s="29"/>
      <c r="G25" s="177"/>
      <c r="H25" s="63" t="str">
        <f>IF(AND($G$28="sì",COUNTA($F$24:$F$27)&gt;0),"CT!","OK")</f>
        <v>OK</v>
      </c>
      <c r="I25"/>
      <c r="J25" s="68"/>
      <c r="K25" s="2" t="s">
        <v>180</v>
      </c>
      <c r="L25" s="92" t="e">
        <f>L24*M6*L8</f>
        <v>#DIV/0!</v>
      </c>
    </row>
    <row r="26" spans="4:12" x14ac:dyDescent="0.3">
      <c r="D26" s="7" t="s">
        <v>160</v>
      </c>
      <c r="E26" s="7" t="s">
        <v>12</v>
      </c>
      <c r="F26" s="29"/>
      <c r="G26" s="177"/>
      <c r="H26" s="63" t="str">
        <f>IF(AND($G$28="sì",COUNTA($F$24:$F$27)&gt;0),"CT!","OK")</f>
        <v>OK</v>
      </c>
      <c r="I26"/>
      <c r="K26" s="3"/>
      <c r="L26" s="3"/>
    </row>
    <row r="27" spans="4:12" x14ac:dyDescent="0.3">
      <c r="D27" s="7" t="s">
        <v>160</v>
      </c>
      <c r="E27" s="7" t="s">
        <v>13</v>
      </c>
      <c r="F27" s="28"/>
      <c r="G27" s="178"/>
      <c r="H27" s="63" t="str">
        <f>IF(AND($G$28="sì",COUNTA($F$24:$F$27)&gt;0),"CT!","OK")</f>
        <v>OK</v>
      </c>
      <c r="I27" s="55"/>
    </row>
    <row r="28" spans="4:12" x14ac:dyDescent="0.3">
      <c r="D28" s="8" t="s">
        <v>32</v>
      </c>
      <c r="E28" s="16" t="s">
        <v>42</v>
      </c>
      <c r="F28" s="20">
        <f>IF(G28="no",F24*$M$2+F25*F24*$M$1+F26*F27,0)</f>
        <v>0</v>
      </c>
      <c r="G28" s="158" t="s">
        <v>45</v>
      </c>
      <c r="H28" s="159"/>
      <c r="I28" t="str">
        <f>IF(G28="no","ok","INSERIRE VALORE e cancellare ore e colonna F")</f>
        <v>ok</v>
      </c>
      <c r="K28" s="3"/>
      <c r="L28" s="3"/>
    </row>
    <row r="29" spans="4:12" x14ac:dyDescent="0.3">
      <c r="D29" s="10" t="s">
        <v>37</v>
      </c>
      <c r="E29" s="10" t="s">
        <v>7</v>
      </c>
      <c r="F29" s="34"/>
      <c r="G29" s="176"/>
      <c r="H29" s="63" t="str">
        <f>IF(AND($G$33="sì",COUNTA($F$29:$F$32)&gt;0),"CT!","OK")</f>
        <v>OK</v>
      </c>
      <c r="I29"/>
      <c r="K29" s="3" t="s">
        <v>167</v>
      </c>
      <c r="L29" s="166"/>
    </row>
    <row r="30" spans="4:12" ht="15.75" customHeight="1" x14ac:dyDescent="0.3">
      <c r="D30" s="10" t="s">
        <v>37</v>
      </c>
      <c r="E30" s="10" t="s">
        <v>58</v>
      </c>
      <c r="F30" s="33"/>
      <c r="G30" s="177"/>
      <c r="H30" s="63" t="str">
        <f>IF(AND($G$33="sì",COUNTA($F$29:$F$32)&gt;0),"CT!","OK")</f>
        <v>OK</v>
      </c>
      <c r="I30"/>
      <c r="J30" s="68"/>
      <c r="K30" s="3"/>
      <c r="L30" s="3"/>
    </row>
    <row r="31" spans="4:12" x14ac:dyDescent="0.3">
      <c r="D31" s="21" t="s">
        <v>41</v>
      </c>
      <c r="E31" s="10" t="s">
        <v>10</v>
      </c>
      <c r="F31" s="34"/>
      <c r="G31" s="177"/>
      <c r="H31" s="63" t="str">
        <f>IF(AND($G$33="sì",COUNTA($F$29:$F$32)&gt;0),"CT!","OK")</f>
        <v>OK</v>
      </c>
      <c r="I31"/>
      <c r="K31" s="3"/>
      <c r="L31" s="3"/>
    </row>
    <row r="32" spans="4:12" x14ac:dyDescent="0.3">
      <c r="D32" s="21" t="s">
        <v>41</v>
      </c>
      <c r="E32" s="10" t="s">
        <v>11</v>
      </c>
      <c r="F32" s="140"/>
      <c r="G32" s="178"/>
      <c r="H32" s="63" t="str">
        <f>IF(AND($G$33="sì",COUNTA($F$29:$F$32)&gt;0),"CT!","OK")</f>
        <v>OK</v>
      </c>
      <c r="I32" s="55"/>
      <c r="K32" s="3"/>
      <c r="L32" s="3"/>
    </row>
    <row r="33" spans="4:12" x14ac:dyDescent="0.3">
      <c r="D33" s="11" t="s">
        <v>28</v>
      </c>
      <c r="E33" s="16" t="s">
        <v>42</v>
      </c>
      <c r="F33" s="20">
        <f>IF(G33="no",F29*$M$2+F30*F29*$M$1+F31*F32,0)</f>
        <v>0</v>
      </c>
      <c r="G33" s="160" t="s">
        <v>45</v>
      </c>
      <c r="H33" s="159"/>
      <c r="I33" t="str">
        <f>IF(G33="no","ok","INSERIRE VALORE e cancellare ore e colonna F")</f>
        <v>ok</v>
      </c>
      <c r="K33" s="86" t="s">
        <v>156</v>
      </c>
      <c r="L33" s="98" t="e">
        <f>+L25+L20+L18+L13</f>
        <v>#DIV/0!</v>
      </c>
    </row>
    <row r="34" spans="4:12" x14ac:dyDescent="0.3">
      <c r="D34" s="10" t="s">
        <v>38</v>
      </c>
      <c r="E34" s="10" t="s">
        <v>7</v>
      </c>
      <c r="F34" s="34"/>
      <c r="G34" s="176"/>
      <c r="H34" s="63" t="str">
        <f>IF(AND($G$38="sì",COUNTA($F$34:$F$37)&gt;0),"CT!","OK")</f>
        <v>OK</v>
      </c>
      <c r="I34"/>
      <c r="K34" s="3" t="s">
        <v>114</v>
      </c>
      <c r="L34" s="141" t="e">
        <f>L33/M6</f>
        <v>#DIV/0!</v>
      </c>
    </row>
    <row r="35" spans="4:12" x14ac:dyDescent="0.3">
      <c r="D35" s="10" t="s">
        <v>38</v>
      </c>
      <c r="E35" s="10" t="s">
        <v>58</v>
      </c>
      <c r="F35" s="33"/>
      <c r="G35" s="177"/>
      <c r="H35" s="63" t="str">
        <f>IF(AND($G$38="sì",COUNTA($F$34:$F$37)&gt;0),"CT!","OK")</f>
        <v>OK</v>
      </c>
      <c r="I35"/>
      <c r="J35" s="68"/>
      <c r="K35" s="3"/>
      <c r="L35" s="3"/>
    </row>
    <row r="36" spans="4:12" x14ac:dyDescent="0.3">
      <c r="D36" s="21" t="s">
        <v>41</v>
      </c>
      <c r="E36" s="10" t="s">
        <v>10</v>
      </c>
      <c r="F36" s="34"/>
      <c r="G36" s="177"/>
      <c r="H36" s="63" t="str">
        <f>IF(AND($G$38="sì",COUNTA($F$34:$F$37)&gt;0),"CT!","OK")</f>
        <v>OK</v>
      </c>
      <c r="I36"/>
      <c r="K36" s="3"/>
      <c r="L36" s="3"/>
    </row>
    <row r="37" spans="4:12" x14ac:dyDescent="0.3">
      <c r="D37" s="21" t="s">
        <v>41</v>
      </c>
      <c r="E37" s="10" t="s">
        <v>11</v>
      </c>
      <c r="F37" s="33"/>
      <c r="G37" s="178"/>
      <c r="H37" s="63" t="str">
        <f>IF(AND($G$38="sì",COUNTA($F$34:$F$37)&gt;0),"CT!","OK")</f>
        <v>OK</v>
      </c>
      <c r="I37" s="55"/>
      <c r="K37" s="86" t="s">
        <v>166</v>
      </c>
      <c r="L37" s="98">
        <f>L29/1000*L9</f>
        <v>0</v>
      </c>
    </row>
    <row r="38" spans="4:12" x14ac:dyDescent="0.3">
      <c r="D38" s="11" t="s">
        <v>29</v>
      </c>
      <c r="E38" s="16" t="s">
        <v>42</v>
      </c>
      <c r="F38" s="20">
        <f>IF(G38="no",F34*$M$2+F35*F34*$M$1+F36*F37,0)</f>
        <v>0</v>
      </c>
      <c r="G38" s="160" t="s">
        <v>45</v>
      </c>
      <c r="H38" s="159"/>
      <c r="I38" t="str">
        <f>IF(G38="no","ok","INSERIRE VALORE e cancellare ore e colonna F")</f>
        <v>ok</v>
      </c>
      <c r="K38" s="145" t="s">
        <v>163</v>
      </c>
      <c r="L38" s="165"/>
    </row>
    <row r="39" spans="4:12" x14ac:dyDescent="0.3">
      <c r="D39" s="10" t="s">
        <v>31</v>
      </c>
      <c r="E39" s="10" t="s">
        <v>7</v>
      </c>
      <c r="F39" s="34"/>
      <c r="G39" s="176"/>
      <c r="H39" s="63" t="str">
        <f>IF(AND($G$43="sì",COUNTA($F$39:$F$42)&gt;0),"CT!","OK")</f>
        <v>OK</v>
      </c>
      <c r="I39"/>
      <c r="K39" s="86" t="s">
        <v>164</v>
      </c>
      <c r="L39" s="98">
        <f>+L38*$F$3</f>
        <v>0</v>
      </c>
    </row>
    <row r="40" spans="4:12" x14ac:dyDescent="0.3">
      <c r="D40" s="10" t="s">
        <v>31</v>
      </c>
      <c r="E40" s="10" t="s">
        <v>58</v>
      </c>
      <c r="F40" s="33"/>
      <c r="G40" s="177"/>
      <c r="H40" s="63" t="str">
        <f>IF(AND($G$43="sì",COUNTA($F$39:$F$42)&gt;0),"CT!","OK")</f>
        <v>OK</v>
      </c>
      <c r="I40"/>
      <c r="J40" s="68"/>
      <c r="K40" s="86" t="s">
        <v>157</v>
      </c>
      <c r="L40" s="165"/>
    </row>
    <row r="41" spans="4:12" x14ac:dyDescent="0.3">
      <c r="D41" s="21" t="s">
        <v>41</v>
      </c>
      <c r="E41" s="10" t="s">
        <v>10</v>
      </c>
      <c r="F41" s="34"/>
      <c r="G41" s="177"/>
      <c r="H41" s="63" t="str">
        <f>IF(AND($G$43="sì",COUNTA($F$39:$F$42)&gt;0),"CT!","OK")</f>
        <v>OK</v>
      </c>
      <c r="I41"/>
      <c r="K41" s="86" t="s">
        <v>158</v>
      </c>
      <c r="L41" s="98">
        <f>L37+L39+L40</f>
        <v>0</v>
      </c>
    </row>
    <row r="42" spans="4:12" x14ac:dyDescent="0.3">
      <c r="D42" s="21" t="s">
        <v>41</v>
      </c>
      <c r="E42" s="10" t="s">
        <v>11</v>
      </c>
      <c r="F42" s="33"/>
      <c r="G42" s="178"/>
      <c r="H42" s="63" t="str">
        <f>IF(AND($G$43="sì",COUNTA($F$39:$F$42)&gt;0),"CT!","OK")</f>
        <v>OK</v>
      </c>
      <c r="I42" s="55"/>
    </row>
    <row r="43" spans="4:12" x14ac:dyDescent="0.3">
      <c r="D43" s="11" t="s">
        <v>30</v>
      </c>
      <c r="E43" s="16" t="s">
        <v>42</v>
      </c>
      <c r="F43" s="20">
        <f>IF(G43="no",F39*$M$2+F40*F39*$M$1+F41*F42,0)</f>
        <v>0</v>
      </c>
      <c r="G43" s="160" t="str">
        <f>G18</f>
        <v>no</v>
      </c>
      <c r="H43" s="159"/>
      <c r="I43"/>
      <c r="K43" s="2" t="s">
        <v>159</v>
      </c>
      <c r="L43" s="92" t="e">
        <f>+L41-L33</f>
        <v>#DIV/0!</v>
      </c>
    </row>
    <row r="44" spans="4:12" x14ac:dyDescent="0.3">
      <c r="D44" s="12" t="s">
        <v>39</v>
      </c>
      <c r="E44" s="12" t="s">
        <v>7</v>
      </c>
      <c r="F44" s="33"/>
      <c r="G44" s="193"/>
      <c r="H44" s="63" t="str">
        <f>IF(AND($G$46="sì",COUNTA($F$44:$F$45)&gt;0),"CT!","OK")</f>
        <v>OK</v>
      </c>
      <c r="I44"/>
      <c r="K44" s="2" t="s">
        <v>87</v>
      </c>
      <c r="L44" s="37" t="e">
        <f>+L43/L33</f>
        <v>#DIV/0!</v>
      </c>
    </row>
    <row r="45" spans="4:12" x14ac:dyDescent="0.3">
      <c r="D45" s="12" t="s">
        <v>39</v>
      </c>
      <c r="E45" s="12" t="s">
        <v>58</v>
      </c>
      <c r="F45" s="33"/>
      <c r="G45" s="194"/>
      <c r="H45" s="63" t="str">
        <f>IF(AND($G$46="sì",COUNTA($F$44:$F$45)&gt;0),"CT!","OK")</f>
        <v>OK</v>
      </c>
      <c r="I45" s="55"/>
      <c r="J45" s="68"/>
    </row>
    <row r="46" spans="4:12" x14ac:dyDescent="0.3">
      <c r="D46" s="13" t="s">
        <v>40</v>
      </c>
      <c r="E46" s="14"/>
      <c r="F46" s="161">
        <f>IF(G46="no",F44*$M$2+F45*F44*$M$1,0)</f>
        <v>0</v>
      </c>
      <c r="G46" s="158" t="s">
        <v>45</v>
      </c>
      <c r="H46" s="159"/>
      <c r="I46" t="str">
        <f>IF(G46="no","ok","INSERIRE VALORE e cancellare ore e colonna F")</f>
        <v>ok</v>
      </c>
    </row>
    <row r="47" spans="4:12" x14ac:dyDescent="0.3">
      <c r="D47" s="79" t="s">
        <v>62</v>
      </c>
      <c r="E47" s="80"/>
      <c r="F47" s="81"/>
      <c r="G47" s="82"/>
      <c r="H47" s="83"/>
      <c r="I47"/>
    </row>
    <row r="48" spans="4:12" x14ac:dyDescent="0.3">
      <c r="D48" s="84" t="s">
        <v>178</v>
      </c>
      <c r="E48" s="85" t="s">
        <v>42</v>
      </c>
      <c r="F48" s="162"/>
      <c r="G48" s="82"/>
      <c r="H48" s="83"/>
      <c r="I48"/>
    </row>
    <row r="49" spans="4:10" x14ac:dyDescent="0.3">
      <c r="D49" s="84" t="s">
        <v>63</v>
      </c>
      <c r="E49" s="85" t="s">
        <v>42</v>
      </c>
      <c r="F49" s="162"/>
      <c r="G49" s="82"/>
      <c r="H49" s="83"/>
      <c r="I49"/>
    </row>
    <row r="50" spans="4:10" x14ac:dyDescent="0.3">
      <c r="D50" s="79" t="s">
        <v>64</v>
      </c>
      <c r="E50" s="80" t="s">
        <v>42</v>
      </c>
      <c r="F50" s="81">
        <f>SUM(F48:F49)</f>
        <v>0</v>
      </c>
      <c r="G50" s="82"/>
      <c r="H50" s="83"/>
      <c r="I50"/>
    </row>
    <row r="51" spans="4:10" x14ac:dyDescent="0.3">
      <c r="D51" s="173" t="s">
        <v>54</v>
      </c>
      <c r="E51" s="7" t="s">
        <v>55</v>
      </c>
      <c r="F51" s="147">
        <f>+(F6+F8+F11+F14+F19+F24+F29+F34+F39+F44)*F3</f>
        <v>0</v>
      </c>
      <c r="G51" s="176"/>
      <c r="H51" s="186"/>
      <c r="I51"/>
      <c r="J51" s="30"/>
    </row>
    <row r="52" spans="4:10" x14ac:dyDescent="0.3">
      <c r="D52" s="174"/>
      <c r="E52" s="69" t="s">
        <v>57</v>
      </c>
      <c r="F52" s="66">
        <f>+F51*M2</f>
        <v>0</v>
      </c>
      <c r="G52" s="177"/>
      <c r="H52" s="187"/>
      <c r="I52"/>
    </row>
    <row r="53" spans="4:10" x14ac:dyDescent="0.3">
      <c r="D53" s="174"/>
      <c r="E53" s="7" t="s">
        <v>47</v>
      </c>
      <c r="F53" s="147">
        <f>(F7*F6+F12*F11+F15*F14+F20*F19+F25*F24+F30*F29+F35*F34+F40*F39+F45*F44+F9*F8)*F3</f>
        <v>0</v>
      </c>
      <c r="G53" s="177"/>
      <c r="H53" s="187"/>
      <c r="I53"/>
      <c r="J53" s="25"/>
    </row>
    <row r="54" spans="4:10" x14ac:dyDescent="0.3">
      <c r="D54" s="174"/>
      <c r="E54" s="69" t="s">
        <v>56</v>
      </c>
      <c r="F54" s="66">
        <f>F53*M1</f>
        <v>0</v>
      </c>
      <c r="G54" s="177"/>
      <c r="H54" s="187"/>
      <c r="I54"/>
      <c r="J54" s="25"/>
    </row>
    <row r="55" spans="4:10" x14ac:dyDescent="0.3">
      <c r="D55" s="174"/>
      <c r="E55" s="69" t="s">
        <v>48</v>
      </c>
      <c r="F55" s="67">
        <f>+(F17*F16+F22*F21+F27+F26+F32*F31+F37*F36+F42*F41)*F3</f>
        <v>0</v>
      </c>
      <c r="G55" s="177"/>
      <c r="H55" s="187"/>
      <c r="I55"/>
    </row>
    <row r="56" spans="4:10" x14ac:dyDescent="0.3">
      <c r="D56" s="174"/>
      <c r="E56" s="7" t="s">
        <v>50</v>
      </c>
      <c r="F56" s="147">
        <f>+(F17+F22+F27+F32+F37+F42)*F3</f>
        <v>0</v>
      </c>
      <c r="G56" s="177"/>
      <c r="H56" s="187"/>
      <c r="I56"/>
    </row>
    <row r="57" spans="4:10" x14ac:dyDescent="0.3">
      <c r="D57" s="175"/>
      <c r="E57" s="7" t="s">
        <v>51</v>
      </c>
      <c r="F57" s="65">
        <f>H59</f>
        <v>0</v>
      </c>
      <c r="G57" s="178"/>
      <c r="H57" s="188"/>
      <c r="I57" s="55"/>
    </row>
    <row r="58" spans="4:10" x14ac:dyDescent="0.3">
      <c r="D58" s="73"/>
      <c r="E58" s="7" t="s">
        <v>65</v>
      </c>
      <c r="F58" s="65">
        <f>F50*F3</f>
        <v>0</v>
      </c>
      <c r="G58" s="75"/>
      <c r="H58" s="74"/>
      <c r="I58" s="55"/>
    </row>
    <row r="59" spans="4:10" x14ac:dyDescent="0.3">
      <c r="D59" s="8" t="s">
        <v>25</v>
      </c>
      <c r="E59" s="16" t="s">
        <v>42</v>
      </c>
      <c r="F59" s="9" t="e">
        <f>+F60/F3</f>
        <v>#DIV/0!</v>
      </c>
      <c r="G59" s="47"/>
      <c r="H59" s="64">
        <f>+($H$10+$H$13+$H$18+$H$23+$H$28+$H$33+$H$38+$H$43+$H$46)</f>
        <v>0</v>
      </c>
      <c r="I59"/>
    </row>
    <row r="60" spans="4:10" x14ac:dyDescent="0.3">
      <c r="D60" s="2" t="s">
        <v>59</v>
      </c>
      <c r="E60" s="2" t="s">
        <v>49</v>
      </c>
      <c r="F60" s="5">
        <f>+F57+F55+F54+F52+F58</f>
        <v>0</v>
      </c>
      <c r="G60" s="49"/>
      <c r="H60" s="5"/>
    </row>
    <row r="61" spans="4:10" x14ac:dyDescent="0.3">
      <c r="I61" s="149"/>
    </row>
    <row r="62" spans="4:10" x14ac:dyDescent="0.3">
      <c r="D62" s="2" t="s">
        <v>35</v>
      </c>
      <c r="E62" s="3"/>
      <c r="F62" s="26"/>
      <c r="G62" s="50"/>
      <c r="H62" s="26"/>
      <c r="I62" s="150"/>
    </row>
    <row r="63" spans="4:10" x14ac:dyDescent="0.3">
      <c r="D63" s="3" t="s">
        <v>20</v>
      </c>
      <c r="E63" s="3" t="s">
        <v>23</v>
      </c>
      <c r="F63" s="5">
        <f>IF(AND(G10="no",G13="no"), F10+F13,IF(AND(G10="sì",G13="no"),H10+F13,IF(AND(G10="sì",G13="sì"),H10+H13,IF(AND(G13="sì",G10="no"),H13+F10))))</f>
        <v>0</v>
      </c>
      <c r="G63" s="51"/>
      <c r="H63" s="4"/>
      <c r="I63" s="150"/>
    </row>
    <row r="64" spans="4:10" x14ac:dyDescent="0.3">
      <c r="D64" s="3" t="s">
        <v>5</v>
      </c>
      <c r="E64" s="3" t="s">
        <v>23</v>
      </c>
      <c r="F64" s="5">
        <f>IF(G23="no",F23,H23)</f>
        <v>0</v>
      </c>
      <c r="G64" s="51"/>
      <c r="H64" s="4"/>
      <c r="I64" s="150"/>
    </row>
    <row r="65" spans="4:10" x14ac:dyDescent="0.3">
      <c r="D65" s="3" t="s">
        <v>21</v>
      </c>
      <c r="E65" s="3" t="s">
        <v>23</v>
      </c>
      <c r="F65" s="5">
        <f>IF(G18="no",F18+F33+F38+F43,IF(G18="sì",H18+H33+H38+H43))</f>
        <v>0</v>
      </c>
      <c r="G65" s="51"/>
      <c r="H65" s="4"/>
      <c r="I65" s="150"/>
    </row>
    <row r="66" spans="4:10" x14ac:dyDescent="0.3">
      <c r="D66" s="7" t="s">
        <v>160</v>
      </c>
      <c r="E66" s="3" t="s">
        <v>23</v>
      </c>
      <c r="F66" s="5">
        <f>IF(G28="no",F28,IF(G28="sì",H28))</f>
        <v>0</v>
      </c>
      <c r="G66" s="51"/>
      <c r="H66" s="4"/>
      <c r="I66" s="150"/>
    </row>
    <row r="67" spans="4:10" x14ac:dyDescent="0.3">
      <c r="D67" s="3" t="s">
        <v>22</v>
      </c>
      <c r="E67" s="3" t="s">
        <v>23</v>
      </c>
      <c r="F67" s="5">
        <f>IF(G46="no",F46,IF(G46="sì",H46))</f>
        <v>0</v>
      </c>
      <c r="G67" s="51"/>
      <c r="H67" s="4"/>
      <c r="I67" s="149"/>
      <c r="J67" s="24"/>
    </row>
    <row r="68" spans="4:10" x14ac:dyDescent="0.3">
      <c r="D68" s="3" t="s">
        <v>62</v>
      </c>
      <c r="E68" s="3" t="s">
        <v>23</v>
      </c>
      <c r="F68" s="5">
        <f>F58</f>
        <v>0</v>
      </c>
      <c r="G68" s="51"/>
      <c r="H68" s="4"/>
      <c r="I68" s="149"/>
      <c r="J68" s="24"/>
    </row>
    <row r="69" spans="4:10" x14ac:dyDescent="0.3">
      <c r="D69" s="2" t="s">
        <v>25</v>
      </c>
      <c r="E69" s="3" t="s">
        <v>23</v>
      </c>
      <c r="F69" s="5">
        <f>+SUM(F63:F68)</f>
        <v>0</v>
      </c>
      <c r="G69" s="49"/>
      <c r="H69" s="5"/>
      <c r="I69" s="150"/>
      <c r="J69" s="68"/>
    </row>
    <row r="70" spans="4:10" x14ac:dyDescent="0.3">
      <c r="D70" s="3"/>
      <c r="E70" s="3"/>
      <c r="F70" s="4"/>
      <c r="G70" s="51"/>
      <c r="H70" s="4"/>
      <c r="I70" s="150"/>
    </row>
    <row r="71" spans="4:10" x14ac:dyDescent="0.3">
      <c r="D71" s="3" t="str">
        <f>D4</f>
        <v>Resa</v>
      </c>
      <c r="E71" s="3" t="str">
        <f>E4</f>
        <v>t/ha</v>
      </c>
      <c r="F71" s="4">
        <f>F4</f>
        <v>0</v>
      </c>
      <c r="G71" s="51"/>
      <c r="H71" s="4"/>
      <c r="I71" s="150"/>
    </row>
    <row r="72" spans="4:10" x14ac:dyDescent="0.3">
      <c r="D72" s="3"/>
      <c r="E72" s="3"/>
      <c r="F72" s="4"/>
      <c r="G72" s="51"/>
      <c r="H72" s="4"/>
      <c r="I72" s="150"/>
    </row>
    <row r="73" spans="4:10" x14ac:dyDescent="0.3">
      <c r="D73" s="3" t="s">
        <v>20</v>
      </c>
      <c r="E73" s="3" t="s">
        <v>24</v>
      </c>
      <c r="F73" s="4" t="e">
        <f t="shared" ref="F73:F78" si="0">F63/$F$71</f>
        <v>#DIV/0!</v>
      </c>
      <c r="G73" s="51"/>
      <c r="H73" s="4"/>
      <c r="I73" s="150"/>
    </row>
    <row r="74" spans="4:10" x14ac:dyDescent="0.3">
      <c r="D74" s="3" t="s">
        <v>5</v>
      </c>
      <c r="E74" s="3" t="s">
        <v>24</v>
      </c>
      <c r="F74" s="4" t="e">
        <f t="shared" si="0"/>
        <v>#DIV/0!</v>
      </c>
      <c r="G74" s="51"/>
      <c r="H74" s="4"/>
      <c r="I74" s="150"/>
    </row>
    <row r="75" spans="4:10" x14ac:dyDescent="0.3">
      <c r="D75" s="3" t="s">
        <v>21</v>
      </c>
      <c r="E75" s="3" t="s">
        <v>24</v>
      </c>
      <c r="F75" s="4" t="e">
        <f t="shared" si="0"/>
        <v>#DIV/0!</v>
      </c>
      <c r="G75" s="51"/>
      <c r="H75" s="4"/>
      <c r="I75" s="150"/>
    </row>
    <row r="76" spans="4:10" x14ac:dyDescent="0.3">
      <c r="D76" s="7" t="s">
        <v>160</v>
      </c>
      <c r="E76" s="3" t="s">
        <v>24</v>
      </c>
      <c r="F76" s="4" t="e">
        <f t="shared" si="0"/>
        <v>#DIV/0!</v>
      </c>
      <c r="G76" s="51"/>
      <c r="H76" s="4"/>
      <c r="I76" s="150"/>
    </row>
    <row r="77" spans="4:10" x14ac:dyDescent="0.3">
      <c r="D77" s="3" t="s">
        <v>22</v>
      </c>
      <c r="E77" s="3" t="s">
        <v>24</v>
      </c>
      <c r="F77" s="4" t="e">
        <f t="shared" si="0"/>
        <v>#DIV/0!</v>
      </c>
      <c r="G77" s="51"/>
      <c r="H77" s="4"/>
      <c r="I77" s="149"/>
    </row>
    <row r="78" spans="4:10" x14ac:dyDescent="0.3">
      <c r="D78" s="3" t="s">
        <v>62</v>
      </c>
      <c r="E78" s="3" t="s">
        <v>24</v>
      </c>
      <c r="F78" s="4" t="e">
        <f t="shared" si="0"/>
        <v>#DIV/0!</v>
      </c>
      <c r="G78" s="51"/>
      <c r="H78" s="4"/>
      <c r="I78" s="149"/>
    </row>
    <row r="79" spans="4:10" x14ac:dyDescent="0.3">
      <c r="D79" s="2" t="s">
        <v>25</v>
      </c>
      <c r="E79" s="3" t="s">
        <v>24</v>
      </c>
      <c r="F79" s="5" t="e">
        <f>SUM(F73:F78)</f>
        <v>#DIV/0!</v>
      </c>
      <c r="G79" s="49"/>
      <c r="H79" s="5"/>
      <c r="I79" s="151"/>
      <c r="J79" s="68"/>
    </row>
    <row r="80" spans="4:10" x14ac:dyDescent="0.3">
      <c r="F80"/>
      <c r="G80"/>
      <c r="H80"/>
    </row>
    <row r="81" spans="6:13" x14ac:dyDescent="0.3">
      <c r="F81"/>
      <c r="G81"/>
      <c r="H81"/>
      <c r="I81"/>
    </row>
    <row r="82" spans="6:13" x14ac:dyDescent="0.3">
      <c r="F82"/>
      <c r="G82"/>
      <c r="H82"/>
      <c r="I82" s="59"/>
    </row>
    <row r="83" spans="6:13" x14ac:dyDescent="0.3">
      <c r="I83" s="59"/>
    </row>
    <row r="84" spans="6:13" x14ac:dyDescent="0.3">
      <c r="I84" s="59"/>
    </row>
    <row r="85" spans="6:13" x14ac:dyDescent="0.3">
      <c r="I85" s="59"/>
    </row>
    <row r="86" spans="6:13" x14ac:dyDescent="0.3">
      <c r="I86" s="59"/>
    </row>
    <row r="87" spans="6:13" x14ac:dyDescent="0.3">
      <c r="I87" s="59"/>
    </row>
    <row r="88" spans="6:13" x14ac:dyDescent="0.3">
      <c r="I88" s="59"/>
      <c r="L88" s="36"/>
    </row>
    <row r="89" spans="6:13" x14ac:dyDescent="0.3">
      <c r="I89" s="60"/>
      <c r="L89" s="31"/>
    </row>
    <row r="90" spans="6:13" x14ac:dyDescent="0.3">
      <c r="I90" s="59"/>
      <c r="L90" s="32"/>
    </row>
    <row r="91" spans="6:13" x14ac:dyDescent="0.3">
      <c r="I91" s="59"/>
      <c r="L91" s="32"/>
    </row>
    <row r="92" spans="6:13" x14ac:dyDescent="0.3">
      <c r="I92" s="59"/>
      <c r="L92" s="32"/>
    </row>
    <row r="93" spans="6:13" x14ac:dyDescent="0.3">
      <c r="I93" s="59"/>
      <c r="L93" s="32"/>
    </row>
    <row r="94" spans="6:13" x14ac:dyDescent="0.3">
      <c r="I94" s="59"/>
      <c r="L94" s="32"/>
      <c r="M94" s="36"/>
    </row>
    <row r="95" spans="6:13" x14ac:dyDescent="0.3">
      <c r="I95" s="59"/>
      <c r="L95" s="32"/>
      <c r="M95" s="31"/>
    </row>
    <row r="96" spans="6:13" x14ac:dyDescent="0.3">
      <c r="I96" s="60"/>
      <c r="L96" s="32"/>
      <c r="M96" s="32"/>
    </row>
    <row r="97" spans="9:13" x14ac:dyDescent="0.3">
      <c r="I97" s="60"/>
      <c r="L97" s="32"/>
      <c r="M97" s="32"/>
    </row>
    <row r="98" spans="9:13" x14ac:dyDescent="0.3">
      <c r="I98" s="60"/>
      <c r="L98" s="32"/>
      <c r="M98" s="32"/>
    </row>
    <row r="99" spans="9:13" x14ac:dyDescent="0.3">
      <c r="I99"/>
      <c r="L99" s="32"/>
      <c r="M99" s="32"/>
    </row>
    <row r="100" spans="9:13" x14ac:dyDescent="0.3">
      <c r="I100" s="59"/>
      <c r="L100" s="32"/>
      <c r="M100" s="32"/>
    </row>
    <row r="101" spans="9:13" ht="15" customHeight="1" x14ac:dyDescent="0.3">
      <c r="I101" s="59"/>
      <c r="M101" s="32"/>
    </row>
    <row r="102" spans="9:13" ht="18.75" customHeight="1" x14ac:dyDescent="0.3">
      <c r="I102" s="60"/>
      <c r="J102" s="189"/>
      <c r="M102" s="32"/>
    </row>
    <row r="103" spans="9:13" ht="18.75" customHeight="1" x14ac:dyDescent="0.3">
      <c r="I103" s="60"/>
      <c r="J103" s="189"/>
      <c r="M103" s="32"/>
    </row>
    <row r="104" spans="9:13" x14ac:dyDescent="0.3">
      <c r="I104" s="60"/>
      <c r="J104" s="189"/>
      <c r="M104" s="32"/>
    </row>
    <row r="105" spans="9:13" x14ac:dyDescent="0.3">
      <c r="I105" s="59"/>
      <c r="J105" s="189"/>
      <c r="M105" s="32"/>
    </row>
    <row r="106" spans="9:13" x14ac:dyDescent="0.3">
      <c r="I106"/>
      <c r="J106" s="189"/>
      <c r="M106" s="32"/>
    </row>
    <row r="107" spans="9:13" x14ac:dyDescent="0.3">
      <c r="I107"/>
      <c r="J107" s="189"/>
    </row>
    <row r="108" spans="9:13" x14ac:dyDescent="0.3">
      <c r="I108"/>
      <c r="J108" s="189"/>
    </row>
    <row r="109" spans="9:13" x14ac:dyDescent="0.3">
      <c r="I109" s="150"/>
      <c r="J109" s="189"/>
    </row>
    <row r="110" spans="9:13" x14ac:dyDescent="0.3">
      <c r="I110" s="150"/>
      <c r="J110" s="189"/>
    </row>
    <row r="111" spans="9:13" x14ac:dyDescent="0.3">
      <c r="I111" s="150"/>
      <c r="J111" s="189"/>
    </row>
    <row r="112" spans="9:13" x14ac:dyDescent="0.3">
      <c r="I112" s="150"/>
    </row>
    <row r="113" spans="9:9" x14ac:dyDescent="0.3">
      <c r="I113" s="150"/>
    </row>
    <row r="114" spans="9:9" x14ac:dyDescent="0.3">
      <c r="I114" s="150"/>
    </row>
    <row r="115" spans="9:9" x14ac:dyDescent="0.3">
      <c r="I115" s="150"/>
    </row>
    <row r="116" spans="9:9" x14ac:dyDescent="0.3">
      <c r="I116" s="150"/>
    </row>
    <row r="117" spans="9:9" x14ac:dyDescent="0.3">
      <c r="I117" s="150"/>
    </row>
    <row r="118" spans="9:9" x14ac:dyDescent="0.3">
      <c r="I118" s="150"/>
    </row>
    <row r="119" spans="9:9" x14ac:dyDescent="0.3">
      <c r="I119" s="150"/>
    </row>
    <row r="120" spans="9:9" x14ac:dyDescent="0.3">
      <c r="I120" s="150"/>
    </row>
  </sheetData>
  <sheetProtection algorithmName="SHA-512" hashValue="FWwBSDD7uIptiJEIq226yIThwe3nWAhNkhXhsKqiid2PesrD5T4ISzIPAC39/LPeSV3/hg7f94QUNJzrzWPmbw==" saltValue="CuC31gUUEzHqGrByz+0v7Q==" spinCount="100000" sheet="1" objects="1" scenarios="1"/>
  <mergeCells count="15">
    <mergeCell ref="J102:J111"/>
    <mergeCell ref="H3:H5"/>
    <mergeCell ref="G24:G27"/>
    <mergeCell ref="G29:G32"/>
    <mergeCell ref="G34:G37"/>
    <mergeCell ref="G39:G42"/>
    <mergeCell ref="G44:G45"/>
    <mergeCell ref="D51:D57"/>
    <mergeCell ref="G51:G57"/>
    <mergeCell ref="F1:H1"/>
    <mergeCell ref="G6:G9"/>
    <mergeCell ref="G11:G12"/>
    <mergeCell ref="G14:G17"/>
    <mergeCell ref="G19:G22"/>
    <mergeCell ref="H51:H57"/>
  </mergeCells>
  <conditionalFormatting sqref="F6:F9">
    <cfRule type="expression" dxfId="91" priority="11">
      <formula>$G$10="sì"</formula>
    </cfRule>
  </conditionalFormatting>
  <conditionalFormatting sqref="F11:F12">
    <cfRule type="expression" dxfId="90" priority="7">
      <formula>$G$13="sì"</formula>
    </cfRule>
    <cfRule type="expression" dxfId="89" priority="10">
      <formula>$G$10="Sì"</formula>
    </cfRule>
  </conditionalFormatting>
  <conditionalFormatting sqref="F14:F17">
    <cfRule type="expression" dxfId="88" priority="6">
      <formula>$G$18="sì"</formula>
    </cfRule>
  </conditionalFormatting>
  <conditionalFormatting sqref="F19:F22">
    <cfRule type="expression" dxfId="87" priority="5">
      <formula>$G$23="sì"</formula>
    </cfRule>
  </conditionalFormatting>
  <conditionalFormatting sqref="F24:F27">
    <cfRule type="expression" dxfId="86" priority="4">
      <formula>$G$28="sì"</formula>
    </cfRule>
  </conditionalFormatting>
  <conditionalFormatting sqref="F29:F32">
    <cfRule type="expression" dxfId="85" priority="3">
      <formula>$G$33="sì"</formula>
    </cfRule>
  </conditionalFormatting>
  <conditionalFormatting sqref="F34:F37">
    <cfRule type="expression" dxfId="84" priority="2">
      <formula>$G$38="sì"</formula>
    </cfRule>
  </conditionalFormatting>
  <conditionalFormatting sqref="F39:F42">
    <cfRule type="expression" dxfId="83" priority="1">
      <formula>$G$43="sì"</formula>
    </cfRule>
  </conditionalFormatting>
  <conditionalFormatting sqref="F44:F45">
    <cfRule type="expression" dxfId="82" priority="8">
      <formula>$G$46="Sì"</formula>
    </cfRule>
    <cfRule type="expression" dxfId="81" priority="9">
      <formula>$G$46="S'"</formula>
    </cfRule>
  </conditionalFormatting>
  <conditionalFormatting sqref="H6:H9">
    <cfRule type="containsText" dxfId="80" priority="34" operator="containsText" text="OK">
      <formula>NOT(ISERROR(SEARCH("OK",H6)))</formula>
    </cfRule>
    <cfRule type="containsText" dxfId="79" priority="35" operator="containsText" text="CT">
      <formula>NOT(ISERROR(SEARCH("CT",H6)))</formula>
    </cfRule>
  </conditionalFormatting>
  <conditionalFormatting sqref="H6:H44 H46:H52">
    <cfRule type="containsText" dxfId="78" priority="36" operator="containsText" text="Cct!">
      <formula>NOT(ISERROR(SEARCH("Cct!",H6)))</formula>
    </cfRule>
  </conditionalFormatting>
  <conditionalFormatting sqref="H11:H12">
    <cfRule type="containsText" dxfId="77" priority="32" operator="containsText" text="OK">
      <formula>NOT(ISERROR(SEARCH("OK",H11)))</formula>
    </cfRule>
    <cfRule type="containsText" dxfId="76" priority="33" operator="containsText" text="CT">
      <formula>NOT(ISERROR(SEARCH("CT",H11)))</formula>
    </cfRule>
  </conditionalFormatting>
  <conditionalFormatting sqref="H14:H17">
    <cfRule type="containsText" dxfId="75" priority="30" operator="containsText" text="OK">
      <formula>NOT(ISERROR(SEARCH("OK",H14)))</formula>
    </cfRule>
    <cfRule type="containsText" dxfId="74" priority="31" operator="containsText" text="CT">
      <formula>NOT(ISERROR(SEARCH("CT",H14)))</formula>
    </cfRule>
  </conditionalFormatting>
  <conditionalFormatting sqref="H19:H22">
    <cfRule type="containsText" dxfId="73" priority="28" operator="containsText" text="OK">
      <formula>NOT(ISERROR(SEARCH("OK",H19)))</formula>
    </cfRule>
    <cfRule type="containsText" dxfId="72" priority="29" operator="containsText" text="CT">
      <formula>NOT(ISERROR(SEARCH("CT",H19)))</formula>
    </cfRule>
  </conditionalFormatting>
  <conditionalFormatting sqref="H24:H27">
    <cfRule type="containsText" dxfId="71" priority="27" operator="containsText" text="CT">
      <formula>NOT(ISERROR(SEARCH("CT",H24)))</formula>
    </cfRule>
    <cfRule type="containsText" dxfId="70" priority="26" operator="containsText" text="OK">
      <formula>NOT(ISERROR(SEARCH("OK",H24)))</formula>
    </cfRule>
  </conditionalFormatting>
  <conditionalFormatting sqref="H29:H32">
    <cfRule type="containsText" dxfId="69" priority="25" operator="containsText" text="CT">
      <formula>NOT(ISERROR(SEARCH("CT",H29)))</formula>
    </cfRule>
    <cfRule type="containsText" dxfId="68" priority="24" operator="containsText" text="OK">
      <formula>NOT(ISERROR(SEARCH("OK",H29)))</formula>
    </cfRule>
  </conditionalFormatting>
  <conditionalFormatting sqref="H34:H37">
    <cfRule type="containsText" dxfId="67" priority="23" operator="containsText" text="CT">
      <formula>NOT(ISERROR(SEARCH("CT",H34)))</formula>
    </cfRule>
    <cfRule type="containsText" dxfId="66" priority="22" operator="containsText" text="OK">
      <formula>NOT(ISERROR(SEARCH("OK",H34)))</formula>
    </cfRule>
  </conditionalFormatting>
  <conditionalFormatting sqref="H39:H42">
    <cfRule type="containsText" dxfId="65" priority="21" operator="containsText" text="CT">
      <formula>NOT(ISERROR(SEARCH("CT",H39)))</formula>
    </cfRule>
    <cfRule type="containsText" dxfId="64" priority="20" operator="containsText" text="OK">
      <formula>NOT(ISERROR(SEARCH("OK",H39)))</formula>
    </cfRule>
  </conditionalFormatting>
  <conditionalFormatting sqref="H44:H45">
    <cfRule type="containsText" dxfId="63" priority="14" operator="containsText" text="CT">
      <formula>NOT(ISERROR(SEARCH("CT",H44)))</formula>
    </cfRule>
    <cfRule type="containsText" dxfId="62" priority="13" operator="containsText" text="OK">
      <formula>NOT(ISERROR(SEARCH("OK",H44)))</formula>
    </cfRule>
  </conditionalFormatting>
  <conditionalFormatting sqref="H45">
    <cfRule type="containsText" dxfId="61" priority="15" operator="containsText" text="Cct!">
      <formula>NOT(ISERROR(SEARCH("Cct!",H45)))</formula>
    </cfRule>
  </conditionalFormatting>
  <conditionalFormatting sqref="H51:H52">
    <cfRule type="containsText" dxfId="60" priority="19" operator="containsText" text="CT">
      <formula>NOT(ISERROR(SEARCH("CT",H51)))</formula>
    </cfRule>
    <cfRule type="containsText" dxfId="59" priority="18" operator="containsText" text="OK">
      <formula>NOT(ISERROR(SEARCH("OK",H51)))</formula>
    </cfRule>
  </conditionalFormatting>
  <conditionalFormatting sqref="I1:I1048576">
    <cfRule type="containsText" dxfId="58" priority="12" operator="containsText" text="VALORE">
      <formula>NOT(ISERROR(SEARCH("VALORE",I1)))</formula>
    </cfRule>
  </conditionalFormatting>
  <conditionalFormatting sqref="L90:L100 M96:M106">
    <cfRule type="cellIs" dxfId="57" priority="37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&amp;L&amp;G&amp;COpen Fields per PTP&amp;RSimulazione costi e conto economico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C69CE6-A16D-49C2-8AAC-1B6824E5096F}">
          <x14:formula1>
            <xm:f>Elenchi!$B$2:$B$3</xm:f>
          </x14:formula1>
          <xm:sqref>G13 G18 G23 G28 G33 G38 G10 I42 I37 I32 I27 I22 I17 I12 I9 I45 G43:G50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E8B42-CA3F-4AF0-9C79-C8F4D7170853}">
  <sheetPr>
    <tabColor rgb="FF92D050"/>
  </sheetPr>
  <dimension ref="D1:M120"/>
  <sheetViews>
    <sheetView zoomScale="85" zoomScaleNormal="85" workbookViewId="0">
      <pane xSplit="5" ySplit="2" topLeftCell="F3" activePane="bottomRight" state="frozen"/>
      <selection activeCell="O37" sqref="O37"/>
      <selection pane="topRight" activeCell="O37" sqref="O37"/>
      <selection pane="bottomLeft" activeCell="O37" sqref="O37"/>
      <selection pane="bottomRight" activeCell="L39" sqref="L39"/>
    </sheetView>
  </sheetViews>
  <sheetFormatPr defaultRowHeight="14.4" x14ac:dyDescent="0.3"/>
  <cols>
    <col min="1" max="1" width="2.44140625" customWidth="1"/>
    <col min="2" max="3" width="3.44140625" customWidth="1"/>
    <col min="4" max="4" width="58.21875" customWidth="1"/>
    <col min="5" max="5" width="27.5546875" customWidth="1"/>
    <col min="6" max="6" width="17.88671875" style="6" customWidth="1"/>
    <col min="7" max="7" width="5.6640625" style="52" customWidth="1"/>
    <col min="8" max="8" width="23.33203125" style="6" customWidth="1"/>
    <col min="9" max="9" width="7.88671875" style="41" customWidth="1"/>
    <col min="10" max="10" width="10.6640625" customWidth="1"/>
    <col min="11" max="11" width="49.21875" customWidth="1"/>
    <col min="12" max="12" width="20.77734375" customWidth="1"/>
    <col min="13" max="13" width="14.5546875" customWidth="1"/>
    <col min="14" max="14" width="18.6640625" customWidth="1"/>
  </cols>
  <sheetData>
    <row r="1" spans="4:13" x14ac:dyDescent="0.3">
      <c r="D1" s="23" t="s">
        <v>60</v>
      </c>
      <c r="E1" s="15"/>
      <c r="F1" s="179" t="s">
        <v>36</v>
      </c>
      <c r="G1" s="180"/>
      <c r="H1" s="180"/>
      <c r="I1" s="61"/>
      <c r="K1" s="42" t="s">
        <v>8</v>
      </c>
      <c r="L1" s="42" t="s">
        <v>26</v>
      </c>
      <c r="M1" s="43"/>
    </row>
    <row r="2" spans="4:13" x14ac:dyDescent="0.3">
      <c r="D2" s="23" t="s">
        <v>33</v>
      </c>
      <c r="E2" s="23" t="s">
        <v>34</v>
      </c>
      <c r="F2" s="44" t="s">
        <v>61</v>
      </c>
      <c r="G2" s="46" t="s">
        <v>43</v>
      </c>
      <c r="H2" s="45" t="s">
        <v>46</v>
      </c>
      <c r="I2" s="61"/>
      <c r="K2" s="42" t="s">
        <v>9</v>
      </c>
      <c r="L2" s="42" t="s">
        <v>27</v>
      </c>
      <c r="M2" s="43"/>
    </row>
    <row r="3" spans="4:13" x14ac:dyDescent="0.3">
      <c r="D3" s="3" t="s">
        <v>52</v>
      </c>
      <c r="E3" s="3" t="s">
        <v>53</v>
      </c>
      <c r="F3" s="33"/>
      <c r="G3" s="114"/>
      <c r="H3" s="195"/>
      <c r="I3"/>
    </row>
    <row r="4" spans="4:13" x14ac:dyDescent="0.3">
      <c r="D4" s="3" t="s">
        <v>0</v>
      </c>
      <c r="E4" s="3" t="s">
        <v>1</v>
      </c>
      <c r="F4" s="35"/>
      <c r="G4" s="115"/>
      <c r="H4" s="196"/>
      <c r="I4" s="53"/>
    </row>
    <row r="5" spans="4:13" x14ac:dyDescent="0.3">
      <c r="D5" s="16" t="s">
        <v>2</v>
      </c>
      <c r="E5" s="17"/>
      <c r="F5" s="27"/>
      <c r="G5" s="116"/>
      <c r="H5" s="197"/>
      <c r="I5" s="1"/>
    </row>
    <row r="6" spans="4:13" x14ac:dyDescent="0.3">
      <c r="D6" s="18" t="s">
        <v>3</v>
      </c>
      <c r="E6" s="17" t="s">
        <v>7</v>
      </c>
      <c r="F6" s="33"/>
      <c r="G6" s="181"/>
      <c r="H6" s="63" t="str">
        <f>IF(AND($G$10="sì",COUNTA($F$6:$F$9)&gt;0),"CT!","OK")</f>
        <v>OK</v>
      </c>
      <c r="I6" s="70"/>
      <c r="K6" s="2" t="s">
        <v>66</v>
      </c>
      <c r="L6" s="2" t="s">
        <v>70</v>
      </c>
      <c r="M6" s="2">
        <f>F4*F3</f>
        <v>0</v>
      </c>
    </row>
    <row r="7" spans="4:13" x14ac:dyDescent="0.3">
      <c r="D7" s="18" t="s">
        <v>3</v>
      </c>
      <c r="E7" s="17" t="s">
        <v>58</v>
      </c>
      <c r="F7" s="33"/>
      <c r="G7" s="182"/>
      <c r="H7" s="63" t="str">
        <f>IF(AND($G$10="sì",COUNTA($F$6:$F$9)&gt;0),"CT!","OK")</f>
        <v>OK</v>
      </c>
      <c r="I7" s="1"/>
      <c r="J7" s="68"/>
      <c r="K7" s="86" t="s">
        <v>112</v>
      </c>
      <c r="L7" s="87"/>
    </row>
    <row r="8" spans="4:13" x14ac:dyDescent="0.3">
      <c r="D8" s="18" t="s">
        <v>161</v>
      </c>
      <c r="E8" s="17" t="s">
        <v>7</v>
      </c>
      <c r="F8" s="33"/>
      <c r="G8" s="182"/>
      <c r="H8" s="63" t="str">
        <f>IF(AND($G$10="sì",COUNTA($F$6:$F$9)&gt;0),"CT!","OK")</f>
        <v>OK</v>
      </c>
      <c r="I8" s="1"/>
      <c r="K8" s="2" t="s">
        <v>71</v>
      </c>
      <c r="L8" s="163"/>
    </row>
    <row r="9" spans="4:13" x14ac:dyDescent="0.3">
      <c r="D9" s="18" t="s">
        <v>161</v>
      </c>
      <c r="E9" s="17" t="s">
        <v>58</v>
      </c>
      <c r="F9" s="33"/>
      <c r="G9" s="183"/>
      <c r="H9" s="63" t="str">
        <f>IF(AND($G$10="sì",COUNTA($F$6:$F$9)&gt;0),"CT!","OK")</f>
        <v>OK</v>
      </c>
      <c r="I9" s="55"/>
      <c r="J9" s="76"/>
      <c r="K9" s="3" t="s">
        <v>72</v>
      </c>
      <c r="L9" s="3">
        <f>+$M$6*1000*L8</f>
        <v>0</v>
      </c>
    </row>
    <row r="10" spans="4:13" x14ac:dyDescent="0.3">
      <c r="D10" s="19" t="s">
        <v>16</v>
      </c>
      <c r="E10" s="16" t="s">
        <v>42</v>
      </c>
      <c r="F10" s="72">
        <f>IF(G10="no",F6*$M$2+F7*F6*$M$1+F8*$M$2+F9*F8*$M$1,0)</f>
        <v>0</v>
      </c>
      <c r="G10" s="158" t="s">
        <v>45</v>
      </c>
      <c r="H10" s="159"/>
      <c r="I10" t="str">
        <f>IF(G10="no","ok","INSERIRE VALORE e cancellare ore e colonna F!")</f>
        <v>ok</v>
      </c>
      <c r="K10" s="3"/>
      <c r="L10" s="3"/>
    </row>
    <row r="11" spans="4:13" x14ac:dyDescent="0.3">
      <c r="D11" s="17" t="s">
        <v>4</v>
      </c>
      <c r="E11" s="17" t="s">
        <v>7</v>
      </c>
      <c r="F11" s="33"/>
      <c r="G11" s="184"/>
      <c r="H11" s="63" t="str">
        <f>IF(AND($G$13="sì",COUNTA($F$11:$F$12)&gt;0),"CT!","OK")</f>
        <v>OK</v>
      </c>
      <c r="I11"/>
      <c r="K11" s="3"/>
      <c r="L11" s="2"/>
    </row>
    <row r="12" spans="4:13" x14ac:dyDescent="0.3">
      <c r="D12" s="17" t="s">
        <v>4</v>
      </c>
      <c r="E12" s="17" t="s">
        <v>58</v>
      </c>
      <c r="F12" s="33"/>
      <c r="G12" s="185"/>
      <c r="H12" s="63" t="str">
        <f>IF(AND($G$13="sì",COUNTA($F$11:$F$12)&gt;0),"CT!","OK")</f>
        <v>OK</v>
      </c>
      <c r="I12" s="55"/>
      <c r="J12" s="78"/>
      <c r="K12" s="3" t="s">
        <v>135</v>
      </c>
      <c r="L12" s="164"/>
    </row>
    <row r="13" spans="4:13" x14ac:dyDescent="0.3">
      <c r="D13" s="19" t="s">
        <v>17</v>
      </c>
      <c r="E13" s="16" t="s">
        <v>42</v>
      </c>
      <c r="F13" s="20">
        <f>IF(G13="no",F11*$M$2+F12*F11*$M$1,0)</f>
        <v>0</v>
      </c>
      <c r="G13" s="158" t="s">
        <v>45</v>
      </c>
      <c r="H13" s="159"/>
      <c r="I13" t="str">
        <f>IF(G13="no","ok","INSERIRE VALORE e cancellare ore e colonna F!")</f>
        <v>ok</v>
      </c>
      <c r="K13" s="2" t="s">
        <v>168</v>
      </c>
      <c r="L13" s="53">
        <f>+L12*L9/1000</f>
        <v>0</v>
      </c>
    </row>
    <row r="14" spans="4:13" x14ac:dyDescent="0.3">
      <c r="D14" s="10" t="s">
        <v>6</v>
      </c>
      <c r="E14" s="10" t="s">
        <v>7</v>
      </c>
      <c r="F14" s="33"/>
      <c r="G14" s="176"/>
      <c r="H14" s="63" t="str">
        <f>IF(AND($G$18="sì",COUNTA($F$14:$F$17)&gt;0),"CT!","OK")</f>
        <v>OK</v>
      </c>
      <c r="I14"/>
      <c r="K14" s="3"/>
      <c r="L14" s="3"/>
    </row>
    <row r="15" spans="4:13" x14ac:dyDescent="0.3">
      <c r="D15" s="10" t="s">
        <v>6</v>
      </c>
      <c r="E15" s="10" t="s">
        <v>58</v>
      </c>
      <c r="F15" s="33"/>
      <c r="G15" s="177"/>
      <c r="H15" s="63" t="str">
        <f>IF(AND($G$18="sì",COUNTA($F$14:$F$17)&gt;0),"CT!","OK")</f>
        <v>OK</v>
      </c>
      <c r="I15"/>
      <c r="J15" s="68"/>
      <c r="K15" s="3" t="s">
        <v>73</v>
      </c>
      <c r="L15" s="165"/>
    </row>
    <row r="16" spans="4:13" x14ac:dyDescent="0.3">
      <c r="D16" s="10" t="s">
        <v>6</v>
      </c>
      <c r="E16" s="10" t="s">
        <v>10</v>
      </c>
      <c r="F16" s="34"/>
      <c r="G16" s="177"/>
      <c r="H16" s="63" t="str">
        <f>IF(AND($G$18="sì",COUNTA($F$14:$F$17)&gt;0),"CT!","OK")</f>
        <v>OK</v>
      </c>
      <c r="I16"/>
      <c r="K16" s="3" t="s">
        <v>74</v>
      </c>
      <c r="L16" s="3">
        <f>IF(L15&gt;0,L9/L15,0)</f>
        <v>0</v>
      </c>
    </row>
    <row r="17" spans="4:12" x14ac:dyDescent="0.3">
      <c r="D17" s="10" t="s">
        <v>6</v>
      </c>
      <c r="E17" s="10" t="s">
        <v>11</v>
      </c>
      <c r="F17" s="33"/>
      <c r="G17" s="178"/>
      <c r="H17" s="63" t="str">
        <f>IF(AND($G$18="sì",COUNTA($F$14:$F$17)&gt;0),"CT!","OK")</f>
        <v>OK</v>
      </c>
      <c r="I17" s="55"/>
      <c r="K17" s="3" t="s">
        <v>83</v>
      </c>
      <c r="L17" s="165"/>
    </row>
    <row r="18" spans="4:12" x14ac:dyDescent="0.3">
      <c r="D18" s="11" t="s">
        <v>18</v>
      </c>
      <c r="E18" s="16" t="s">
        <v>42</v>
      </c>
      <c r="F18" s="20">
        <f>IF(G18="no",F14*$M$2+F15*F14*$M$1+F16*F17,0)</f>
        <v>0</v>
      </c>
      <c r="G18" s="158" t="s">
        <v>45</v>
      </c>
      <c r="H18" s="159"/>
      <c r="I18" t="str">
        <f>IF(G18="no","ok","INSERIRE VALORE e cancellare ore e colonna F")</f>
        <v>ok</v>
      </c>
      <c r="K18" s="2" t="s">
        <v>155</v>
      </c>
      <c r="L18" s="2">
        <f>+L17*L16</f>
        <v>0</v>
      </c>
    </row>
    <row r="19" spans="4:12" x14ac:dyDescent="0.3">
      <c r="D19" s="15" t="s">
        <v>5</v>
      </c>
      <c r="E19" s="15" t="s">
        <v>7</v>
      </c>
      <c r="F19" s="33"/>
      <c r="G19" s="176"/>
      <c r="H19" s="63" t="str">
        <f>IF(AND($G$23="sì",COUNTA($F$19:$F$22)&gt;0),"CT!","OK")</f>
        <v>OK</v>
      </c>
      <c r="I19"/>
      <c r="K19" s="3"/>
      <c r="L19" s="3"/>
    </row>
    <row r="20" spans="4:12" x14ac:dyDescent="0.3">
      <c r="D20" s="15" t="s">
        <v>5</v>
      </c>
      <c r="E20" s="15" t="s">
        <v>58</v>
      </c>
      <c r="F20" s="33"/>
      <c r="G20" s="177"/>
      <c r="H20" s="63" t="str">
        <f>IF(AND($G$23="sì",COUNTA($F$19:$F$22)&gt;0),"CT!","OK")</f>
        <v>OK</v>
      </c>
      <c r="I20"/>
      <c r="J20" s="68"/>
      <c r="K20" s="3" t="s">
        <v>113</v>
      </c>
      <c r="L20" s="165"/>
    </row>
    <row r="21" spans="4:12" x14ac:dyDescent="0.3">
      <c r="D21" s="15" t="s">
        <v>5</v>
      </c>
      <c r="E21" s="15" t="s">
        <v>14</v>
      </c>
      <c r="F21" s="34"/>
      <c r="G21" s="177"/>
      <c r="H21" s="63" t="str">
        <f>IF(AND($G$23="sì",COUNTA($F$19:$F$22)&gt;0),"CT!","OK")</f>
        <v>OK</v>
      </c>
      <c r="I21"/>
      <c r="K21" s="2" t="s">
        <v>185</v>
      </c>
      <c r="L21" s="2">
        <f>+L20*L9/1000</f>
        <v>0</v>
      </c>
    </row>
    <row r="22" spans="4:12" x14ac:dyDescent="0.3">
      <c r="D22" s="15" t="s">
        <v>5</v>
      </c>
      <c r="E22" s="15" t="s">
        <v>15</v>
      </c>
      <c r="F22" s="33"/>
      <c r="G22" s="178"/>
      <c r="H22" s="63" t="str">
        <f>IF(AND($G$23="sì",COUNTA($F$19:$F$22)&gt;0),"CT!","OK")</f>
        <v>OK</v>
      </c>
      <c r="I22" s="55"/>
      <c r="J22" s="68"/>
      <c r="K22" s="3"/>
      <c r="L22" s="3"/>
    </row>
    <row r="23" spans="4:12" x14ac:dyDescent="0.3">
      <c r="D23" s="22" t="s">
        <v>19</v>
      </c>
      <c r="E23" s="16" t="s">
        <v>42</v>
      </c>
      <c r="F23" s="20">
        <f>IF(G23="no",F19*$M$2+F19*F20*$M$1+F21*F22,0)</f>
        <v>0</v>
      </c>
      <c r="G23" s="158" t="s">
        <v>45</v>
      </c>
      <c r="H23" s="159"/>
      <c r="I23" t="str">
        <f>IF(G23="no","ok","INSERIRE VALORE e cancellare ore e colonna F!")</f>
        <v>ok</v>
      </c>
      <c r="J23" s="71"/>
      <c r="K23" s="3"/>
      <c r="L23" s="3"/>
    </row>
    <row r="24" spans="4:12" x14ac:dyDescent="0.3">
      <c r="D24" s="7" t="s">
        <v>160</v>
      </c>
      <c r="E24" s="7" t="s">
        <v>7</v>
      </c>
      <c r="F24" s="139"/>
      <c r="G24" s="176"/>
      <c r="H24" s="63" t="str">
        <f>IF(AND($G$28="sì",COUNTA($F$24:$F$27)&gt;0),"CT!","OK")</f>
        <v>OK</v>
      </c>
      <c r="I24"/>
      <c r="K24" s="2" t="s">
        <v>179</v>
      </c>
      <c r="L24" s="91" t="e">
        <f>F79</f>
        <v>#DIV/0!</v>
      </c>
    </row>
    <row r="25" spans="4:12" x14ac:dyDescent="0.3">
      <c r="D25" s="7" t="s">
        <v>160</v>
      </c>
      <c r="E25" s="7" t="s">
        <v>58</v>
      </c>
      <c r="F25" s="29"/>
      <c r="G25" s="177"/>
      <c r="H25" s="63" t="str">
        <f>IF(AND($G$28="sì",COUNTA($F$24:$F$27)&gt;0),"CT!","OK")</f>
        <v>OK</v>
      </c>
      <c r="I25"/>
      <c r="J25" s="68"/>
      <c r="K25" s="2" t="s">
        <v>180</v>
      </c>
      <c r="L25" s="92" t="e">
        <f>L24*M6*L8</f>
        <v>#DIV/0!</v>
      </c>
    </row>
    <row r="26" spans="4:12" x14ac:dyDescent="0.3">
      <c r="D26" s="7" t="s">
        <v>160</v>
      </c>
      <c r="E26" s="7" t="s">
        <v>12</v>
      </c>
      <c r="F26" s="29"/>
      <c r="G26" s="177"/>
      <c r="H26" s="63" t="str">
        <f>IF(AND($G$28="sì",COUNTA($F$24:$F$27)&gt;0),"CT!","OK")</f>
        <v>OK</v>
      </c>
      <c r="I26"/>
      <c r="K26" s="3"/>
      <c r="L26" s="3"/>
    </row>
    <row r="27" spans="4:12" x14ac:dyDescent="0.3">
      <c r="D27" s="7" t="s">
        <v>160</v>
      </c>
      <c r="E27" s="7" t="s">
        <v>13</v>
      </c>
      <c r="F27" s="28"/>
      <c r="G27" s="178"/>
      <c r="H27" s="63" t="str">
        <f>IF(AND($G$28="sì",COUNTA($F$24:$F$27)&gt;0),"CT!","OK")</f>
        <v>OK</v>
      </c>
      <c r="I27" s="55"/>
    </row>
    <row r="28" spans="4:12" x14ac:dyDescent="0.3">
      <c r="D28" s="8" t="s">
        <v>32</v>
      </c>
      <c r="E28" s="16" t="s">
        <v>42</v>
      </c>
      <c r="F28" s="20">
        <f>IF(G28="no",F24*$M$2+F25*F24*$M$1+F26*F27,0)</f>
        <v>0</v>
      </c>
      <c r="G28" s="158" t="s">
        <v>45</v>
      </c>
      <c r="H28" s="159"/>
      <c r="I28" t="str">
        <f>IF(G28="no","ok","INSERIRE VALORE e cancellare ore e colonna F")</f>
        <v>ok</v>
      </c>
      <c r="K28" s="3"/>
      <c r="L28" s="3"/>
    </row>
    <row r="29" spans="4:12" x14ac:dyDescent="0.3">
      <c r="D29" s="10" t="s">
        <v>37</v>
      </c>
      <c r="E29" s="10" t="s">
        <v>7</v>
      </c>
      <c r="F29" s="34"/>
      <c r="G29" s="176"/>
      <c r="H29" s="63" t="str">
        <f>IF(AND($G$33="sì",COUNTA($F$29:$F$32)&gt;0),"CT!","OK")</f>
        <v>OK</v>
      </c>
      <c r="I29"/>
      <c r="K29" s="3" t="s">
        <v>110</v>
      </c>
      <c r="L29" s="166"/>
    </row>
    <row r="30" spans="4:12" ht="15.75" customHeight="1" x14ac:dyDescent="0.3">
      <c r="D30" s="10" t="s">
        <v>37</v>
      </c>
      <c r="E30" s="10" t="s">
        <v>58</v>
      </c>
      <c r="F30" s="33"/>
      <c r="G30" s="177"/>
      <c r="H30" s="63" t="str">
        <f>IF(AND($G$33="sì",COUNTA($F$29:$F$32)&gt;0),"CT!","OK")</f>
        <v>OK</v>
      </c>
      <c r="I30" s="54"/>
      <c r="J30" s="68"/>
      <c r="K30" s="3"/>
      <c r="L30" s="3"/>
    </row>
    <row r="31" spans="4:12" x14ac:dyDescent="0.3">
      <c r="D31" s="21" t="s">
        <v>41</v>
      </c>
      <c r="E31" s="10" t="s">
        <v>10</v>
      </c>
      <c r="F31" s="34"/>
      <c r="G31" s="177"/>
      <c r="H31" s="63" t="str">
        <f>IF(AND($G$33="sì",COUNTA($F$29:$F$32)&gt;0),"CT!","OK")</f>
        <v>OK</v>
      </c>
      <c r="I31" s="54"/>
      <c r="K31" s="3"/>
      <c r="L31" s="3"/>
    </row>
    <row r="32" spans="4:12" x14ac:dyDescent="0.3">
      <c r="D32" s="21" t="s">
        <v>41</v>
      </c>
      <c r="E32" s="10" t="s">
        <v>11</v>
      </c>
      <c r="F32" s="33"/>
      <c r="G32" s="178"/>
      <c r="H32" s="63" t="str">
        <f>IF(AND($G$33="sì",COUNTA($F$29:$F$32)&gt;0),"CT!","OK")</f>
        <v>OK</v>
      </c>
      <c r="I32" s="55"/>
      <c r="K32" s="3"/>
      <c r="L32" s="3"/>
    </row>
    <row r="33" spans="4:12" x14ac:dyDescent="0.3">
      <c r="D33" s="11" t="s">
        <v>28</v>
      </c>
      <c r="E33" s="16" t="s">
        <v>42</v>
      </c>
      <c r="F33" s="20">
        <f>IF(G33="no",F29*$M$2+F30*F29*$M$1+F31*F32)</f>
        <v>0</v>
      </c>
      <c r="G33" s="160" t="str">
        <f>G18</f>
        <v>no</v>
      </c>
      <c r="H33" s="159"/>
      <c r="I33" t="str">
        <f>IF(G33="no","ok","INSERIRE VALORE e cancellare ore e colonna F")</f>
        <v>ok</v>
      </c>
      <c r="K33" s="86" t="s">
        <v>114</v>
      </c>
      <c r="L33" s="98" t="e">
        <f>+L34/L9*1000</f>
        <v>#DIV/0!</v>
      </c>
    </row>
    <row r="34" spans="4:12" x14ac:dyDescent="0.3">
      <c r="D34" s="10" t="s">
        <v>38</v>
      </c>
      <c r="E34" s="10" t="s">
        <v>7</v>
      </c>
      <c r="F34" s="34"/>
      <c r="G34" s="176"/>
      <c r="H34" s="63" t="str">
        <f>IF(AND($G$38="sì",COUNTA($F$34:$F$37)&gt;0),"CT!","OK")</f>
        <v>OK</v>
      </c>
      <c r="I34"/>
      <c r="K34" s="86" t="s">
        <v>156</v>
      </c>
      <c r="L34" s="98" t="e">
        <f>+L25+L21+L18+L13</f>
        <v>#DIV/0!</v>
      </c>
    </row>
    <row r="35" spans="4:12" x14ac:dyDescent="0.3">
      <c r="D35" s="10" t="s">
        <v>38</v>
      </c>
      <c r="E35" s="10" t="s">
        <v>58</v>
      </c>
      <c r="F35" s="33"/>
      <c r="G35" s="177"/>
      <c r="H35" s="63" t="str">
        <f>IF(AND($G$38="sì",COUNTA($F$34:$F$37)&gt;0),"CT!","OK")</f>
        <v>OK</v>
      </c>
      <c r="I35" s="54"/>
      <c r="J35" s="68"/>
      <c r="K35" s="3"/>
      <c r="L35" s="3"/>
    </row>
    <row r="36" spans="4:12" x14ac:dyDescent="0.3">
      <c r="D36" s="21" t="s">
        <v>41</v>
      </c>
      <c r="E36" s="10" t="s">
        <v>10</v>
      </c>
      <c r="F36" s="34"/>
      <c r="G36" s="177"/>
      <c r="H36" s="63" t="str">
        <f>IF(AND($G$38="sì",COUNTA($F$34:$F$37)&gt;0),"CT!","OK")</f>
        <v>OK</v>
      </c>
      <c r="I36" s="54"/>
      <c r="K36" s="3"/>
      <c r="L36" s="3"/>
    </row>
    <row r="37" spans="4:12" x14ac:dyDescent="0.3">
      <c r="D37" s="21" t="s">
        <v>41</v>
      </c>
      <c r="E37" s="10" t="s">
        <v>11</v>
      </c>
      <c r="F37" s="33"/>
      <c r="G37" s="178"/>
      <c r="H37" s="63" t="str">
        <f>IF(AND($G$38="sì",COUNTA($F$34:$F$37)&gt;0),"CT!","OK")</f>
        <v>OK</v>
      </c>
      <c r="I37" s="55"/>
      <c r="K37" s="3"/>
      <c r="L37" s="3"/>
    </row>
    <row r="38" spans="4:12" x14ac:dyDescent="0.3">
      <c r="D38" s="11" t="s">
        <v>29</v>
      </c>
      <c r="E38" s="16" t="s">
        <v>42</v>
      </c>
      <c r="F38" s="20">
        <f>IF(G38="no",F34*$M$2+F35*F34*$M$1+F36*F37,0)</f>
        <v>0</v>
      </c>
      <c r="G38" s="160" t="str">
        <f>G18</f>
        <v>no</v>
      </c>
      <c r="H38" s="159"/>
      <c r="I38" t="str">
        <f>IF(G38="no","ok","INSERIRE VALORE e cancellare ore e colonna F")</f>
        <v>ok</v>
      </c>
      <c r="K38" s="86" t="s">
        <v>166</v>
      </c>
      <c r="L38" s="86">
        <f>L29/1000*L9</f>
        <v>0</v>
      </c>
    </row>
    <row r="39" spans="4:12" x14ac:dyDescent="0.3">
      <c r="D39" s="10" t="s">
        <v>31</v>
      </c>
      <c r="E39" s="10" t="s">
        <v>7</v>
      </c>
      <c r="F39" s="34"/>
      <c r="G39" s="176"/>
      <c r="H39" s="63" t="str">
        <f>IF(AND($G$43="sì",COUNTA($F$39:$F$42)&gt;0),"CT!","OK")</f>
        <v>OK</v>
      </c>
      <c r="I39"/>
      <c r="K39" s="86" t="s">
        <v>144</v>
      </c>
      <c r="L39" s="165"/>
    </row>
    <row r="40" spans="4:12" x14ac:dyDescent="0.3">
      <c r="D40" s="10" t="s">
        <v>31</v>
      </c>
      <c r="E40" s="10" t="s">
        <v>58</v>
      </c>
      <c r="F40" s="33"/>
      <c r="G40" s="177"/>
      <c r="H40" s="63" t="str">
        <f>IF(AND($G$43="sì",COUNTA($F$39:$F$42)&gt;0),"CT!","OK")</f>
        <v>OK</v>
      </c>
      <c r="I40" s="54"/>
      <c r="J40" s="68"/>
      <c r="K40" s="86" t="s">
        <v>169</v>
      </c>
      <c r="L40" s="98">
        <f>+L39*$F$3</f>
        <v>0</v>
      </c>
    </row>
    <row r="41" spans="4:12" x14ac:dyDescent="0.3">
      <c r="D41" s="21" t="s">
        <v>41</v>
      </c>
      <c r="E41" s="10" t="s">
        <v>10</v>
      </c>
      <c r="F41" s="34"/>
      <c r="G41" s="177"/>
      <c r="H41" s="63" t="str">
        <f>IF(AND($G$43="sì",COUNTA($F$39:$F$42)&gt;0),"CT!","OK")</f>
        <v>OK</v>
      </c>
      <c r="I41" s="54"/>
      <c r="K41" s="86" t="s">
        <v>157</v>
      </c>
      <c r="L41" s="165"/>
    </row>
    <row r="42" spans="4:12" x14ac:dyDescent="0.3">
      <c r="D42" s="21" t="s">
        <v>41</v>
      </c>
      <c r="E42" s="10" t="s">
        <v>11</v>
      </c>
      <c r="F42" s="33"/>
      <c r="G42" s="178"/>
      <c r="H42" s="63" t="str">
        <f>IF(AND($G$43="sì",COUNTA($F$39:$F$42)&gt;0),"CT!","OK")</f>
        <v>OK</v>
      </c>
      <c r="I42" s="55"/>
      <c r="K42" s="86" t="s">
        <v>158</v>
      </c>
      <c r="L42" s="98">
        <f>L38+L40+L41</f>
        <v>0</v>
      </c>
    </row>
    <row r="43" spans="4:12" x14ac:dyDescent="0.3">
      <c r="D43" s="11" t="s">
        <v>30</v>
      </c>
      <c r="E43" s="16" t="s">
        <v>42</v>
      </c>
      <c r="F43" s="20">
        <f>IF(G43="no",F39*$M$2+F40*F39*$M$1+F41*F42,0)</f>
        <v>0</v>
      </c>
      <c r="G43" s="160" t="str">
        <f>G18</f>
        <v>no</v>
      </c>
      <c r="H43" s="159"/>
      <c r="I43"/>
      <c r="K43" s="91"/>
      <c r="L43" s="3"/>
    </row>
    <row r="44" spans="4:12" x14ac:dyDescent="0.3">
      <c r="D44" s="12" t="s">
        <v>39</v>
      </c>
      <c r="E44" s="12" t="s">
        <v>7</v>
      </c>
      <c r="F44" s="33"/>
      <c r="G44" s="193"/>
      <c r="H44" s="63" t="str">
        <f>IF(AND($G$46="sì",COUNTA($F$44:$F$45)&gt;0),"CT!","OK")</f>
        <v>OK</v>
      </c>
      <c r="I44"/>
      <c r="K44" s="91"/>
      <c r="L44" s="3"/>
    </row>
    <row r="45" spans="4:12" x14ac:dyDescent="0.3">
      <c r="D45" s="12" t="s">
        <v>39</v>
      </c>
      <c r="E45" s="12" t="s">
        <v>58</v>
      </c>
      <c r="F45" s="33"/>
      <c r="G45" s="194"/>
      <c r="H45" s="63" t="str">
        <f>IF(AND($G$46="sì",COUNTA($F$44:$F$45)&gt;0),"CT!","OK")</f>
        <v>OK</v>
      </c>
      <c r="I45" s="55"/>
      <c r="J45" s="68"/>
      <c r="K45" s="91"/>
      <c r="L45" s="3"/>
    </row>
    <row r="46" spans="4:12" x14ac:dyDescent="0.3">
      <c r="D46" s="13" t="s">
        <v>40</v>
      </c>
      <c r="E46" s="14"/>
      <c r="F46" s="20">
        <f>IF(G46="no",F44*$M$2+F45*F44*$M$1,0)</f>
        <v>0</v>
      </c>
      <c r="G46" s="48" t="s">
        <v>45</v>
      </c>
      <c r="H46" s="62"/>
      <c r="I46" t="str">
        <f>IF(G46="no","ok","INSERIRE VALORE e cancellare ore e colonna F")</f>
        <v>ok</v>
      </c>
      <c r="K46" s="2" t="s">
        <v>86</v>
      </c>
      <c r="L46" s="92" t="e">
        <f>+L42-L34</f>
        <v>#DIV/0!</v>
      </c>
    </row>
    <row r="47" spans="4:12" x14ac:dyDescent="0.3">
      <c r="D47" s="79" t="s">
        <v>62</v>
      </c>
      <c r="E47" s="80"/>
      <c r="F47" s="81"/>
      <c r="G47" s="82"/>
      <c r="H47" s="83"/>
      <c r="I47"/>
      <c r="K47" s="2" t="s">
        <v>87</v>
      </c>
      <c r="L47" s="37" t="e">
        <f>+L46/L34</f>
        <v>#DIV/0!</v>
      </c>
    </row>
    <row r="48" spans="4:12" x14ac:dyDescent="0.3">
      <c r="D48" s="84" t="s">
        <v>178</v>
      </c>
      <c r="E48" s="85" t="s">
        <v>42</v>
      </c>
      <c r="F48" s="112"/>
      <c r="G48" s="82"/>
      <c r="H48" s="83"/>
      <c r="I48"/>
    </row>
    <row r="49" spans="4:10" x14ac:dyDescent="0.3">
      <c r="D49" s="84" t="s">
        <v>63</v>
      </c>
      <c r="E49" s="85" t="s">
        <v>42</v>
      </c>
      <c r="F49" s="112"/>
      <c r="G49" s="82"/>
      <c r="H49" s="83"/>
      <c r="I49"/>
    </row>
    <row r="50" spans="4:10" x14ac:dyDescent="0.3">
      <c r="D50" s="79" t="s">
        <v>64</v>
      </c>
      <c r="E50" s="80" t="s">
        <v>42</v>
      </c>
      <c r="F50" s="81">
        <f>SUM(F48:F49)</f>
        <v>0</v>
      </c>
      <c r="G50" s="82"/>
      <c r="H50" s="83"/>
      <c r="I50"/>
    </row>
    <row r="51" spans="4:10" x14ac:dyDescent="0.3">
      <c r="D51" s="173" t="s">
        <v>54</v>
      </c>
      <c r="E51" s="7" t="s">
        <v>55</v>
      </c>
      <c r="F51" s="66">
        <f>+(F6+F8+F11+F14+F19+F24+F29+F34+F39+F44)*F3</f>
        <v>0</v>
      </c>
      <c r="G51" s="176"/>
      <c r="H51" s="186"/>
      <c r="I51"/>
      <c r="J51" s="30"/>
    </row>
    <row r="52" spans="4:10" x14ac:dyDescent="0.3">
      <c r="D52" s="174"/>
      <c r="E52" s="69" t="s">
        <v>57</v>
      </c>
      <c r="F52" s="66">
        <f>+F51*M2</f>
        <v>0</v>
      </c>
      <c r="G52" s="177"/>
      <c r="H52" s="187"/>
      <c r="I52"/>
    </row>
    <row r="53" spans="4:10" x14ac:dyDescent="0.3">
      <c r="D53" s="174"/>
      <c r="E53" s="7" t="s">
        <v>47</v>
      </c>
      <c r="F53" s="66">
        <f>(F7*F6+F12*F11+F15*F14+F20*F19+F25*F24+F30*F29+F35*F34+F40*F39+F45*F44+F9*F8)*F3</f>
        <v>0</v>
      </c>
      <c r="G53" s="177"/>
      <c r="H53" s="187"/>
      <c r="I53"/>
      <c r="J53" s="25"/>
    </row>
    <row r="54" spans="4:10" x14ac:dyDescent="0.3">
      <c r="D54" s="174"/>
      <c r="E54" s="69" t="s">
        <v>56</v>
      </c>
      <c r="F54" s="66">
        <f>F53*M1</f>
        <v>0</v>
      </c>
      <c r="G54" s="177"/>
      <c r="H54" s="187"/>
      <c r="I54"/>
      <c r="J54" s="25"/>
    </row>
    <row r="55" spans="4:10" x14ac:dyDescent="0.3">
      <c r="D55" s="174"/>
      <c r="E55" s="69" t="s">
        <v>48</v>
      </c>
      <c r="F55" s="67">
        <f>+(F17*F16+F22*F21+F27+F26+F32*F31+F37*F36+F42*F41)*F3</f>
        <v>0</v>
      </c>
      <c r="G55" s="177"/>
      <c r="H55" s="187"/>
      <c r="I55"/>
    </row>
    <row r="56" spans="4:10" x14ac:dyDescent="0.3">
      <c r="D56" s="174"/>
      <c r="E56" s="7" t="s">
        <v>50</v>
      </c>
      <c r="F56" s="66">
        <f>+(F17+F22+F27+F32+F37+F42)*F3</f>
        <v>0</v>
      </c>
      <c r="G56" s="177"/>
      <c r="H56" s="187"/>
      <c r="I56"/>
    </row>
    <row r="57" spans="4:10" x14ac:dyDescent="0.3">
      <c r="D57" s="175"/>
      <c r="E57" s="7" t="s">
        <v>51</v>
      </c>
      <c r="F57" s="65">
        <f>H59</f>
        <v>0</v>
      </c>
      <c r="G57" s="178"/>
      <c r="H57" s="188"/>
      <c r="I57" s="55"/>
    </row>
    <row r="58" spans="4:10" x14ac:dyDescent="0.3">
      <c r="D58" s="73"/>
      <c r="E58" s="7" t="s">
        <v>65</v>
      </c>
      <c r="F58" s="65">
        <f>F50*F3</f>
        <v>0</v>
      </c>
      <c r="G58" s="75"/>
      <c r="H58" s="74"/>
      <c r="I58" s="55"/>
    </row>
    <row r="59" spans="4:10" x14ac:dyDescent="0.3">
      <c r="D59" s="8" t="s">
        <v>25</v>
      </c>
      <c r="E59" s="16" t="s">
        <v>42</v>
      </c>
      <c r="F59" s="9" t="e">
        <f>+F60/F3</f>
        <v>#DIV/0!</v>
      </c>
      <c r="G59" s="47"/>
      <c r="H59" s="64">
        <f>+($H$10+$H$13+$H$18+$H$23+$H$28+$H$33+$H$38+$H$43+$H$46)</f>
        <v>0</v>
      </c>
      <c r="I59"/>
    </row>
    <row r="60" spans="4:10" x14ac:dyDescent="0.3">
      <c r="D60" s="2" t="s">
        <v>59</v>
      </c>
      <c r="E60" s="2" t="s">
        <v>49</v>
      </c>
      <c r="F60" s="5">
        <f>+F57+F55+F54+F52+F58</f>
        <v>0</v>
      </c>
      <c r="G60" s="49"/>
      <c r="H60" s="5"/>
    </row>
    <row r="61" spans="4:10" x14ac:dyDescent="0.3">
      <c r="I61" s="57"/>
    </row>
    <row r="62" spans="4:10" x14ac:dyDescent="0.3">
      <c r="D62" s="2" t="s">
        <v>35</v>
      </c>
      <c r="E62" s="3"/>
      <c r="F62" s="26"/>
      <c r="G62" s="50"/>
      <c r="H62" s="26"/>
      <c r="I62" s="58"/>
    </row>
    <row r="63" spans="4:10" x14ac:dyDescent="0.3">
      <c r="D63" s="3" t="s">
        <v>20</v>
      </c>
      <c r="E63" s="3" t="s">
        <v>23</v>
      </c>
      <c r="F63" s="5">
        <f>IF(AND(G10="no",G13="no"), F10+F13,IF(AND(G10="sì",G13="no"),H10+F13,IF(AND(G10="sì",G13="sì"),H10+H13,IF(AND(G13="sì",G10="no"),H13+F10))))</f>
        <v>0</v>
      </c>
      <c r="G63" s="51"/>
      <c r="H63" s="4"/>
      <c r="I63" s="58"/>
    </row>
    <row r="64" spans="4:10" x14ac:dyDescent="0.3">
      <c r="D64" s="3" t="s">
        <v>5</v>
      </c>
      <c r="E64" s="3" t="s">
        <v>23</v>
      </c>
      <c r="F64" s="5">
        <f>IF(G23="no",F23,H23)</f>
        <v>0</v>
      </c>
      <c r="G64" s="51"/>
      <c r="H64" s="4"/>
      <c r="I64" s="58"/>
    </row>
    <row r="65" spans="4:10" x14ac:dyDescent="0.3">
      <c r="D65" s="3" t="s">
        <v>21</v>
      </c>
      <c r="E65" s="3" t="s">
        <v>23</v>
      </c>
      <c r="F65" s="5">
        <f>IF(G18="no",F18+F33+F38+F43,IF(G18="sì",H18+H33+H38+H43))</f>
        <v>0</v>
      </c>
      <c r="G65" s="51"/>
      <c r="H65" s="4"/>
      <c r="I65" s="58"/>
    </row>
    <row r="66" spans="4:10" x14ac:dyDescent="0.3">
      <c r="D66" s="7" t="s">
        <v>160</v>
      </c>
      <c r="E66" s="3" t="s">
        <v>23</v>
      </c>
      <c r="F66" s="5">
        <f>IF(G28="no",F28,IF(G28="sì",H28))</f>
        <v>0</v>
      </c>
      <c r="G66" s="51"/>
      <c r="H66" s="4"/>
      <c r="I66" s="58"/>
    </row>
    <row r="67" spans="4:10" x14ac:dyDescent="0.3">
      <c r="D67" s="3" t="s">
        <v>22</v>
      </c>
      <c r="E67" s="3" t="s">
        <v>23</v>
      </c>
      <c r="F67" s="5">
        <f>IF(G46="no",F46,IF(G46="sì",H46))</f>
        <v>0</v>
      </c>
      <c r="G67" s="51"/>
      <c r="H67" s="4"/>
      <c r="I67" s="56"/>
      <c r="J67" s="24"/>
    </row>
    <row r="68" spans="4:10" x14ac:dyDescent="0.3">
      <c r="D68" s="3" t="s">
        <v>62</v>
      </c>
      <c r="E68" s="3" t="s">
        <v>23</v>
      </c>
      <c r="F68" s="5">
        <f>F58</f>
        <v>0</v>
      </c>
      <c r="G68" s="51"/>
      <c r="H68" s="4"/>
      <c r="I68" s="56"/>
      <c r="J68" s="24"/>
    </row>
    <row r="69" spans="4:10" x14ac:dyDescent="0.3">
      <c r="D69" s="2" t="s">
        <v>25</v>
      </c>
      <c r="E69" s="3" t="s">
        <v>23</v>
      </c>
      <c r="F69" s="5">
        <f>+SUM(F63:F68)</f>
        <v>0</v>
      </c>
      <c r="G69" s="49"/>
      <c r="H69" s="5"/>
      <c r="I69" s="58"/>
    </row>
    <row r="70" spans="4:10" x14ac:dyDescent="0.3">
      <c r="D70" s="3"/>
      <c r="E70" s="3"/>
      <c r="F70" s="4"/>
      <c r="G70" s="51"/>
      <c r="H70" s="4"/>
      <c r="I70" s="58"/>
    </row>
    <row r="71" spans="4:10" x14ac:dyDescent="0.3">
      <c r="D71" s="3" t="str">
        <f>D4</f>
        <v>Resa</v>
      </c>
      <c r="E71" s="3" t="str">
        <f>E4</f>
        <v>t/ha</v>
      </c>
      <c r="F71" s="4">
        <f>F4</f>
        <v>0</v>
      </c>
      <c r="G71" s="51"/>
      <c r="H71" s="4"/>
      <c r="I71" s="58"/>
    </row>
    <row r="72" spans="4:10" x14ac:dyDescent="0.3">
      <c r="D72" s="3"/>
      <c r="E72" s="3"/>
      <c r="F72" s="4"/>
      <c r="G72" s="51"/>
      <c r="H72" s="4"/>
      <c r="I72" s="58"/>
    </row>
    <row r="73" spans="4:10" x14ac:dyDescent="0.3">
      <c r="D73" s="3" t="s">
        <v>20</v>
      </c>
      <c r="E73" s="3" t="s">
        <v>24</v>
      </c>
      <c r="F73" s="4" t="e">
        <f t="shared" ref="F73:F78" si="0">F63/$F$71</f>
        <v>#DIV/0!</v>
      </c>
      <c r="G73" s="51"/>
      <c r="H73" s="4"/>
      <c r="I73" s="58"/>
    </row>
    <row r="74" spans="4:10" x14ac:dyDescent="0.3">
      <c r="D74" s="3" t="s">
        <v>5</v>
      </c>
      <c r="E74" s="3" t="s">
        <v>24</v>
      </c>
      <c r="F74" s="4" t="e">
        <f t="shared" si="0"/>
        <v>#DIV/0!</v>
      </c>
      <c r="G74" s="51"/>
      <c r="H74" s="4"/>
      <c r="I74" s="58"/>
    </row>
    <row r="75" spans="4:10" x14ac:dyDescent="0.3">
      <c r="D75" s="3" t="s">
        <v>21</v>
      </c>
      <c r="E75" s="3" t="s">
        <v>24</v>
      </c>
      <c r="F75" s="4" t="e">
        <f t="shared" si="0"/>
        <v>#DIV/0!</v>
      </c>
      <c r="G75" s="51"/>
      <c r="H75" s="4"/>
      <c r="I75" s="58"/>
    </row>
    <row r="76" spans="4:10" x14ac:dyDescent="0.3">
      <c r="D76" s="7" t="s">
        <v>160</v>
      </c>
      <c r="E76" s="3" t="s">
        <v>24</v>
      </c>
      <c r="F76" s="4" t="e">
        <f t="shared" si="0"/>
        <v>#DIV/0!</v>
      </c>
      <c r="G76" s="51"/>
      <c r="H76" s="4"/>
      <c r="I76" s="58"/>
    </row>
    <row r="77" spans="4:10" x14ac:dyDescent="0.3">
      <c r="D77" s="3" t="s">
        <v>22</v>
      </c>
      <c r="E77" s="3" t="s">
        <v>24</v>
      </c>
      <c r="F77" s="4" t="e">
        <f t="shared" si="0"/>
        <v>#DIV/0!</v>
      </c>
      <c r="G77" s="51"/>
      <c r="H77" s="4"/>
      <c r="I77" s="56"/>
    </row>
    <row r="78" spans="4:10" x14ac:dyDescent="0.3">
      <c r="D78" s="3" t="s">
        <v>62</v>
      </c>
      <c r="E78" s="3" t="s">
        <v>24</v>
      </c>
      <c r="F78" s="4" t="e">
        <f t="shared" si="0"/>
        <v>#DIV/0!</v>
      </c>
      <c r="G78" s="51"/>
      <c r="H78" s="4"/>
      <c r="I78" s="56"/>
    </row>
    <row r="79" spans="4:10" x14ac:dyDescent="0.3">
      <c r="D79" s="2" t="s">
        <v>25</v>
      </c>
      <c r="E79" s="3" t="s">
        <v>24</v>
      </c>
      <c r="F79" s="5" t="e">
        <f>SUM(F73:F78)</f>
        <v>#DIV/0!</v>
      </c>
      <c r="G79" s="49"/>
      <c r="H79" s="5"/>
      <c r="J79" s="71"/>
    </row>
    <row r="81" spans="9:13" x14ac:dyDescent="0.3">
      <c r="I81"/>
    </row>
    <row r="82" spans="9:13" x14ac:dyDescent="0.3">
      <c r="I82" s="59"/>
    </row>
    <row r="83" spans="9:13" x14ac:dyDescent="0.3">
      <c r="I83" s="59"/>
    </row>
    <row r="84" spans="9:13" x14ac:dyDescent="0.3">
      <c r="I84" s="59"/>
    </row>
    <row r="85" spans="9:13" x14ac:dyDescent="0.3">
      <c r="I85" s="59"/>
    </row>
    <row r="86" spans="9:13" x14ac:dyDescent="0.3">
      <c r="I86" s="59"/>
    </row>
    <row r="87" spans="9:13" x14ac:dyDescent="0.3">
      <c r="I87" s="59"/>
    </row>
    <row r="88" spans="9:13" x14ac:dyDescent="0.3">
      <c r="I88" s="59"/>
    </row>
    <row r="89" spans="9:13" x14ac:dyDescent="0.3">
      <c r="I89" s="60"/>
    </row>
    <row r="90" spans="9:13" x14ac:dyDescent="0.3">
      <c r="I90" s="59"/>
    </row>
    <row r="91" spans="9:13" x14ac:dyDescent="0.3">
      <c r="I91" s="59"/>
    </row>
    <row r="92" spans="9:13" x14ac:dyDescent="0.3">
      <c r="I92" s="59"/>
    </row>
    <row r="93" spans="9:13" x14ac:dyDescent="0.3">
      <c r="I93" s="59"/>
    </row>
    <row r="94" spans="9:13" x14ac:dyDescent="0.3">
      <c r="I94" s="59"/>
      <c r="L94" s="36"/>
      <c r="M94" s="36"/>
    </row>
    <row r="95" spans="9:13" x14ac:dyDescent="0.3">
      <c r="I95" s="59"/>
      <c r="L95" s="31"/>
      <c r="M95" s="31"/>
    </row>
    <row r="96" spans="9:13" x14ac:dyDescent="0.3">
      <c r="I96" s="60"/>
      <c r="L96" s="32"/>
      <c r="M96" s="32"/>
    </row>
    <row r="97" spans="9:13" x14ac:dyDescent="0.3">
      <c r="I97" s="60"/>
      <c r="L97" s="32"/>
      <c r="M97" s="32"/>
    </row>
    <row r="98" spans="9:13" x14ac:dyDescent="0.3">
      <c r="I98" s="60"/>
      <c r="L98" s="32"/>
      <c r="M98" s="32"/>
    </row>
    <row r="99" spans="9:13" x14ac:dyDescent="0.3">
      <c r="I99"/>
      <c r="L99" s="32"/>
      <c r="M99" s="32"/>
    </row>
    <row r="100" spans="9:13" x14ac:dyDescent="0.3">
      <c r="I100" s="59"/>
      <c r="L100" s="32"/>
      <c r="M100" s="32"/>
    </row>
    <row r="101" spans="9:13" ht="15" customHeight="1" x14ac:dyDescent="0.3">
      <c r="I101" s="59"/>
      <c r="L101" s="32"/>
      <c r="M101" s="32"/>
    </row>
    <row r="102" spans="9:13" ht="18.75" customHeight="1" x14ac:dyDescent="0.3">
      <c r="I102" s="60"/>
      <c r="J102" s="189"/>
      <c r="L102" s="32"/>
      <c r="M102" s="32"/>
    </row>
    <row r="103" spans="9:13" ht="18.75" customHeight="1" x14ac:dyDescent="0.3">
      <c r="I103" s="60"/>
      <c r="J103" s="189"/>
      <c r="L103" s="32"/>
      <c r="M103" s="32"/>
    </row>
    <row r="104" spans="9:13" x14ac:dyDescent="0.3">
      <c r="I104" s="60"/>
      <c r="J104" s="189"/>
      <c r="L104" s="32"/>
      <c r="M104" s="32"/>
    </row>
    <row r="105" spans="9:13" x14ac:dyDescent="0.3">
      <c r="I105" s="59"/>
      <c r="J105" s="189"/>
      <c r="L105" s="32"/>
      <c r="M105" s="32"/>
    </row>
    <row r="106" spans="9:13" x14ac:dyDescent="0.3">
      <c r="I106"/>
      <c r="J106" s="189"/>
      <c r="L106" s="32"/>
      <c r="M106" s="32"/>
    </row>
    <row r="107" spans="9:13" x14ac:dyDescent="0.3">
      <c r="I107"/>
      <c r="J107" s="189"/>
    </row>
    <row r="108" spans="9:13" x14ac:dyDescent="0.3">
      <c r="I108"/>
      <c r="J108" s="189"/>
    </row>
    <row r="109" spans="9:13" x14ac:dyDescent="0.3">
      <c r="I109" s="58"/>
      <c r="J109" s="189"/>
    </row>
    <row r="110" spans="9:13" x14ac:dyDescent="0.3">
      <c r="I110" s="58"/>
      <c r="J110" s="189"/>
    </row>
    <row r="111" spans="9:13" x14ac:dyDescent="0.3">
      <c r="I111" s="58"/>
      <c r="J111" s="189"/>
    </row>
    <row r="112" spans="9:13" x14ac:dyDescent="0.3">
      <c r="I112" s="58"/>
    </row>
    <row r="113" spans="9:9" x14ac:dyDescent="0.3">
      <c r="I113" s="58"/>
    </row>
    <row r="114" spans="9:9" x14ac:dyDescent="0.3">
      <c r="I114" s="58"/>
    </row>
    <row r="115" spans="9:9" x14ac:dyDescent="0.3">
      <c r="I115" s="58"/>
    </row>
    <row r="116" spans="9:9" x14ac:dyDescent="0.3">
      <c r="I116" s="58"/>
    </row>
    <row r="117" spans="9:9" x14ac:dyDescent="0.3">
      <c r="I117" s="58"/>
    </row>
    <row r="118" spans="9:9" x14ac:dyDescent="0.3">
      <c r="I118" s="58"/>
    </row>
    <row r="119" spans="9:9" x14ac:dyDescent="0.3">
      <c r="I119" s="58"/>
    </row>
    <row r="120" spans="9:9" x14ac:dyDescent="0.3">
      <c r="I120" s="58"/>
    </row>
  </sheetData>
  <sheetProtection algorithmName="SHA-512" hashValue="4XklZBQxgnvveELGw/WUqbeoT1NAraDZe+R493JGzIHdjwYkVq3jnu/4LPVJl4PepdffWw887+5WU9945g21qw==" saltValue="4YEHIA49zsAr32nHdBJZcw==" spinCount="100000" sheet="1" objects="1" scenarios="1"/>
  <mergeCells count="15">
    <mergeCell ref="J102:J111"/>
    <mergeCell ref="H3:H5"/>
    <mergeCell ref="G24:G27"/>
    <mergeCell ref="G29:G32"/>
    <mergeCell ref="G34:G37"/>
    <mergeCell ref="G39:G42"/>
    <mergeCell ref="G44:G45"/>
    <mergeCell ref="D51:D57"/>
    <mergeCell ref="G51:G57"/>
    <mergeCell ref="F1:H1"/>
    <mergeCell ref="G6:G9"/>
    <mergeCell ref="G11:G12"/>
    <mergeCell ref="G14:G17"/>
    <mergeCell ref="G19:G22"/>
    <mergeCell ref="H51:H57"/>
  </mergeCells>
  <conditionalFormatting sqref="F44:F45">
    <cfRule type="expression" dxfId="56" priority="1">
      <formula>$G$46="Sì"</formula>
    </cfRule>
    <cfRule type="expression" dxfId="55" priority="2">
      <formula>$G$46="S'"</formula>
    </cfRule>
  </conditionalFormatting>
  <conditionalFormatting sqref="H6:H9">
    <cfRule type="containsText" dxfId="54" priority="29" operator="containsText" text="OK">
      <formula>NOT(ISERROR(SEARCH("OK",H6)))</formula>
    </cfRule>
    <cfRule type="containsText" dxfId="53" priority="30" operator="containsText" text="CT">
      <formula>NOT(ISERROR(SEARCH("CT",H6)))</formula>
    </cfRule>
  </conditionalFormatting>
  <conditionalFormatting sqref="H6:H44 H46:H52">
    <cfRule type="containsText" dxfId="52" priority="31" operator="containsText" text="Cct!">
      <formula>NOT(ISERROR(SEARCH("Cct!",H6)))</formula>
    </cfRule>
  </conditionalFormatting>
  <conditionalFormatting sqref="H11:H12">
    <cfRule type="containsText" dxfId="51" priority="27" operator="containsText" text="OK">
      <formula>NOT(ISERROR(SEARCH("OK",H11)))</formula>
    </cfRule>
    <cfRule type="containsText" dxfId="50" priority="28" operator="containsText" text="CT">
      <formula>NOT(ISERROR(SEARCH("CT",H11)))</formula>
    </cfRule>
  </conditionalFormatting>
  <conditionalFormatting sqref="H14:H17">
    <cfRule type="containsText" dxfId="49" priority="25" operator="containsText" text="OK">
      <formula>NOT(ISERROR(SEARCH("OK",H14)))</formula>
    </cfRule>
    <cfRule type="containsText" dxfId="48" priority="26" operator="containsText" text="CT">
      <formula>NOT(ISERROR(SEARCH("CT",H14)))</formula>
    </cfRule>
  </conditionalFormatting>
  <conditionalFormatting sqref="H19:H22">
    <cfRule type="containsText" dxfId="47" priority="23" operator="containsText" text="OK">
      <formula>NOT(ISERROR(SEARCH("OK",H19)))</formula>
    </cfRule>
    <cfRule type="containsText" dxfId="46" priority="24" operator="containsText" text="CT">
      <formula>NOT(ISERROR(SEARCH("CT",H19)))</formula>
    </cfRule>
  </conditionalFormatting>
  <conditionalFormatting sqref="H24:H27">
    <cfRule type="containsText" dxfId="45" priority="21" operator="containsText" text="OK">
      <formula>NOT(ISERROR(SEARCH("OK",H24)))</formula>
    </cfRule>
    <cfRule type="containsText" dxfId="44" priority="22" operator="containsText" text="CT">
      <formula>NOT(ISERROR(SEARCH("CT",H24)))</formula>
    </cfRule>
  </conditionalFormatting>
  <conditionalFormatting sqref="H29:H32">
    <cfRule type="containsText" dxfId="43" priority="19" operator="containsText" text="OK">
      <formula>NOT(ISERROR(SEARCH("OK",H29)))</formula>
    </cfRule>
    <cfRule type="containsText" dxfId="42" priority="20" operator="containsText" text="CT">
      <formula>NOT(ISERROR(SEARCH("CT",H29)))</formula>
    </cfRule>
  </conditionalFormatting>
  <conditionalFormatting sqref="H34:H37">
    <cfRule type="containsText" dxfId="41" priority="17" operator="containsText" text="OK">
      <formula>NOT(ISERROR(SEARCH("OK",H34)))</formula>
    </cfRule>
    <cfRule type="containsText" dxfId="40" priority="18" operator="containsText" text="CT">
      <formula>NOT(ISERROR(SEARCH("CT",H34)))</formula>
    </cfRule>
  </conditionalFormatting>
  <conditionalFormatting sqref="H39:H42">
    <cfRule type="containsText" dxfId="39" priority="15" operator="containsText" text="OK">
      <formula>NOT(ISERROR(SEARCH("OK",H39)))</formula>
    </cfRule>
    <cfRule type="containsText" dxfId="38" priority="16" operator="containsText" text="CT">
      <formula>NOT(ISERROR(SEARCH("CT",H39)))</formula>
    </cfRule>
  </conditionalFormatting>
  <conditionalFormatting sqref="H44:H45">
    <cfRule type="containsText" dxfId="37" priority="8" operator="containsText" text="OK">
      <formula>NOT(ISERROR(SEARCH("OK",H44)))</formula>
    </cfRule>
    <cfRule type="containsText" dxfId="36" priority="9" operator="containsText" text="CT">
      <formula>NOT(ISERROR(SEARCH("CT",H44)))</formula>
    </cfRule>
  </conditionalFormatting>
  <conditionalFormatting sqref="H45">
    <cfRule type="containsText" dxfId="35" priority="10" operator="containsText" text="Cct!">
      <formula>NOT(ISERROR(SEARCH("Cct!",H45)))</formula>
    </cfRule>
  </conditionalFormatting>
  <conditionalFormatting sqref="H51:H52">
    <cfRule type="containsText" dxfId="34" priority="13" operator="containsText" text="OK">
      <formula>NOT(ISERROR(SEARCH("OK",H51)))</formula>
    </cfRule>
    <cfRule type="containsText" dxfId="33" priority="14" operator="containsText" text="CT">
      <formula>NOT(ISERROR(SEARCH("CT",H51)))</formula>
    </cfRule>
  </conditionalFormatting>
  <conditionalFormatting sqref="I1:I105">
    <cfRule type="containsText" dxfId="32" priority="3" operator="containsText" text="VALORE">
      <formula>NOT(ISERROR(SEARCH("VALORE",I1)))</formula>
    </cfRule>
  </conditionalFormatting>
  <conditionalFormatting sqref="I109:I1048576">
    <cfRule type="containsText" dxfId="31" priority="7" operator="containsText" text="VALORE">
      <formula>NOT(ISERROR(SEARCH("VALORE",I109)))</formula>
    </cfRule>
  </conditionalFormatting>
  <conditionalFormatting sqref="L96:M106">
    <cfRule type="cellIs" dxfId="30" priority="3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&amp;L&amp;G&amp;COpen Fields per PTP&amp;RSimulazione costi e conto economico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FFA84C-5A83-4164-B3AA-4FEFCDFF1077}">
          <x14:formula1>
            <xm:f>Elenchi!$B$2:$B$3</xm:f>
          </x14:formula1>
          <xm:sqref>G13 G18 G23 G28 G33 G38 G10 G43:G50 I42 I37 I32 I27 I22 I17 I12 I9 I45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7B8F-A55F-4D9E-A7CC-77B2C6BDB451}">
  <sheetPr>
    <tabColor theme="8" tint="0.39997558519241921"/>
  </sheetPr>
  <dimension ref="D1:U120"/>
  <sheetViews>
    <sheetView zoomScale="85" zoomScaleNormal="85" workbookViewId="0">
      <pane xSplit="5" ySplit="2" topLeftCell="F3" activePane="bottomRight" state="frozen"/>
      <selection activeCell="O37" sqref="O37"/>
      <selection pane="topRight" activeCell="O37" sqref="O37"/>
      <selection pane="bottomLeft" activeCell="O37" sqref="O37"/>
      <selection pane="bottomRight" activeCell="F3" sqref="F3"/>
    </sheetView>
  </sheetViews>
  <sheetFormatPr defaultRowHeight="14.4" x14ac:dyDescent="0.3"/>
  <cols>
    <col min="1" max="1" width="2.44140625" customWidth="1"/>
    <col min="2" max="3" width="3.44140625" customWidth="1"/>
    <col min="4" max="4" width="58.21875" customWidth="1"/>
    <col min="5" max="5" width="27.5546875" customWidth="1"/>
    <col min="6" max="6" width="17.88671875" style="6" customWidth="1"/>
    <col min="7" max="7" width="5.6640625" style="52" customWidth="1"/>
    <col min="8" max="8" width="23.33203125" style="6" customWidth="1"/>
    <col min="9" max="9" width="7.88671875" style="41" customWidth="1"/>
    <col min="10" max="10" width="6.77734375" customWidth="1"/>
    <col min="11" max="11" width="45.77734375" customWidth="1"/>
    <col min="12" max="12" width="20.77734375" customWidth="1"/>
    <col min="13" max="13" width="50.44140625" customWidth="1"/>
    <col min="14" max="14" width="13.5546875" customWidth="1"/>
    <col min="16" max="16" width="25" customWidth="1"/>
    <col min="21" max="21" width="20.88671875" customWidth="1"/>
  </cols>
  <sheetData>
    <row r="1" spans="4:14" x14ac:dyDescent="0.3">
      <c r="D1" s="23" t="s">
        <v>60</v>
      </c>
      <c r="E1" s="15"/>
      <c r="F1" s="179" t="s">
        <v>36</v>
      </c>
      <c r="G1" s="180"/>
      <c r="H1" s="180"/>
      <c r="I1" s="61"/>
      <c r="K1" s="42" t="s">
        <v>8</v>
      </c>
      <c r="L1" s="42" t="s">
        <v>26</v>
      </c>
      <c r="M1" s="43"/>
    </row>
    <row r="2" spans="4:14" x14ac:dyDescent="0.3">
      <c r="D2" s="23" t="s">
        <v>33</v>
      </c>
      <c r="E2" s="23" t="s">
        <v>34</v>
      </c>
      <c r="F2" s="44" t="s">
        <v>61</v>
      </c>
      <c r="G2" s="46" t="s">
        <v>43</v>
      </c>
      <c r="H2" s="45" t="s">
        <v>46</v>
      </c>
      <c r="I2" s="61"/>
      <c r="K2" s="42" t="s">
        <v>9</v>
      </c>
      <c r="L2" s="42" t="s">
        <v>27</v>
      </c>
      <c r="M2" s="43"/>
    </row>
    <row r="3" spans="4:14" x14ac:dyDescent="0.3">
      <c r="D3" s="3" t="s">
        <v>52</v>
      </c>
      <c r="E3" s="3" t="s">
        <v>53</v>
      </c>
      <c r="F3" s="33"/>
      <c r="G3" s="198"/>
      <c r="H3" s="199"/>
      <c r="I3"/>
    </row>
    <row r="4" spans="4:14" x14ac:dyDescent="0.3">
      <c r="D4" s="3" t="s">
        <v>0</v>
      </c>
      <c r="E4" s="3" t="s">
        <v>1</v>
      </c>
      <c r="F4" s="35"/>
      <c r="G4" s="200"/>
      <c r="H4" s="201"/>
      <c r="I4" s="53"/>
    </row>
    <row r="5" spans="4:14" x14ac:dyDescent="0.3">
      <c r="D5" s="16" t="s">
        <v>2</v>
      </c>
      <c r="E5" s="17"/>
      <c r="F5" s="27"/>
      <c r="G5" s="202"/>
      <c r="H5" s="203"/>
      <c r="I5" s="1"/>
    </row>
    <row r="6" spans="4:14" x14ac:dyDescent="0.3">
      <c r="D6" s="18" t="s">
        <v>3</v>
      </c>
      <c r="E6" s="17" t="s">
        <v>7</v>
      </c>
      <c r="F6" s="33"/>
      <c r="G6" s="181"/>
      <c r="H6" s="63" t="str">
        <f>IF(AND($G$10="sì",COUNTA($F$6:$F$9)&gt;0),"CT!","OK")</f>
        <v>OK</v>
      </c>
      <c r="I6" s="70"/>
      <c r="K6" s="2" t="s">
        <v>66</v>
      </c>
      <c r="L6" s="2" t="s">
        <v>70</v>
      </c>
      <c r="M6" s="2">
        <f>F4*F3</f>
        <v>0</v>
      </c>
    </row>
    <row r="7" spans="4:14" x14ac:dyDescent="0.3">
      <c r="D7" s="18" t="s">
        <v>3</v>
      </c>
      <c r="E7" s="17" t="s">
        <v>58</v>
      </c>
      <c r="F7" s="33"/>
      <c r="G7" s="182"/>
      <c r="H7" s="63" t="str">
        <f>IF(AND($G$10="sì",COUNTA($F$6:$F$9)&gt;0),"CT!","OK")</f>
        <v>OK</v>
      </c>
      <c r="I7" s="1"/>
      <c r="J7" s="68"/>
      <c r="K7" s="86" t="s">
        <v>129</v>
      </c>
      <c r="L7" s="87"/>
      <c r="M7" s="135" t="s">
        <v>68</v>
      </c>
      <c r="N7" s="136"/>
    </row>
    <row r="8" spans="4:14" x14ac:dyDescent="0.3">
      <c r="D8" s="18" t="s">
        <v>161</v>
      </c>
      <c r="E8" s="17" t="s">
        <v>7</v>
      </c>
      <c r="F8" s="33"/>
      <c r="G8" s="182"/>
      <c r="H8" s="63" t="str">
        <f>IF(AND($G$10="sì",COUNTA($F$6:$F$9)&gt;0),"CT!","OK")</f>
        <v>OK</v>
      </c>
      <c r="I8" s="1"/>
      <c r="K8" s="2" t="s">
        <v>71</v>
      </c>
      <c r="L8" s="163"/>
      <c r="M8" s="3" t="s">
        <v>118</v>
      </c>
      <c r="N8" s="163"/>
    </row>
    <row r="9" spans="4:14" x14ac:dyDescent="0.3">
      <c r="D9" s="18" t="s">
        <v>161</v>
      </c>
      <c r="E9" s="17" t="s">
        <v>58</v>
      </c>
      <c r="F9" s="33"/>
      <c r="G9" s="183"/>
      <c r="H9" s="63" t="str">
        <f>IF(AND($G$10="sì",COUNTA($F$6:$F$9)&gt;0),"CT!","OK")</f>
        <v>OK</v>
      </c>
      <c r="I9" s="55"/>
      <c r="J9" s="76"/>
      <c r="K9" s="3" t="s">
        <v>72</v>
      </c>
      <c r="L9" s="3">
        <f>+$M$6*1000*L8</f>
        <v>0</v>
      </c>
      <c r="M9" s="38" t="s">
        <v>115</v>
      </c>
      <c r="N9" s="3">
        <f>L9*N8</f>
        <v>0</v>
      </c>
    </row>
    <row r="10" spans="4:14" x14ac:dyDescent="0.3">
      <c r="D10" s="19" t="s">
        <v>16</v>
      </c>
      <c r="E10" s="16" t="s">
        <v>42</v>
      </c>
      <c r="F10" s="72">
        <f>IF(G10="no",F6*$M$2+F7*F6*$M$1+F8*$M$2+F9*F8*$M$1,0)</f>
        <v>0</v>
      </c>
      <c r="G10" s="158" t="s">
        <v>45</v>
      </c>
      <c r="H10" s="159"/>
      <c r="I10" t="str">
        <f>IF(G10="no","ok","INSERIRE VALORE e cancellare ore e colonna F!")</f>
        <v>ok</v>
      </c>
      <c r="K10" s="3"/>
      <c r="L10" s="3"/>
      <c r="M10" s="38"/>
      <c r="N10" s="3"/>
    </row>
    <row r="11" spans="4:14" x14ac:dyDescent="0.3">
      <c r="D11" s="17" t="s">
        <v>4</v>
      </c>
      <c r="E11" s="17" t="s">
        <v>7</v>
      </c>
      <c r="F11" s="33"/>
      <c r="G11" s="184"/>
      <c r="H11" s="63" t="str">
        <f>IF(AND($G$13="sì",COUNTA($F$11:$F$12)&gt;0),"CT!","OK")</f>
        <v>OK</v>
      </c>
      <c r="I11"/>
      <c r="K11" s="3"/>
      <c r="L11" s="3"/>
      <c r="M11" s="3" t="s">
        <v>90</v>
      </c>
      <c r="N11" s="118" t="s">
        <v>91</v>
      </c>
    </row>
    <row r="12" spans="4:14" x14ac:dyDescent="0.3">
      <c r="D12" s="17" t="s">
        <v>4</v>
      </c>
      <c r="E12" s="17" t="s">
        <v>58</v>
      </c>
      <c r="F12" s="33"/>
      <c r="G12" s="185"/>
      <c r="H12" s="63" t="str">
        <f>IF(AND($G$13="sì",COUNTA($F$11:$F$12)&gt;0),"CT!","OK")</f>
        <v>OK</v>
      </c>
      <c r="I12" s="55"/>
      <c r="J12" s="78"/>
      <c r="K12" s="3" t="s">
        <v>199</v>
      </c>
      <c r="L12" s="164"/>
      <c r="M12" s="3" t="s">
        <v>93</v>
      </c>
      <c r="N12" s="91" t="e">
        <f>L39</f>
        <v>#DIV/0!</v>
      </c>
    </row>
    <row r="13" spans="4:14" x14ac:dyDescent="0.3">
      <c r="D13" s="19" t="s">
        <v>17</v>
      </c>
      <c r="E13" s="16" t="s">
        <v>42</v>
      </c>
      <c r="F13" s="20">
        <f>IF(G13="no",F11*$M$2+F12*F11*$M$1,0)</f>
        <v>0</v>
      </c>
      <c r="G13" s="158" t="s">
        <v>45</v>
      </c>
      <c r="H13" s="159"/>
      <c r="I13" t="str">
        <f>IF(G13="no","ok","INSERIRE VALORE e cancellare ore e colonna F!")</f>
        <v>ok</v>
      </c>
      <c r="K13" s="2" t="s">
        <v>136</v>
      </c>
      <c r="L13" s="2">
        <f>L12*(L9/1000)</f>
        <v>0</v>
      </c>
      <c r="M13" s="2" t="s">
        <v>94</v>
      </c>
      <c r="N13" s="92" t="e">
        <f>N12*N9/1000</f>
        <v>#DIV/0!</v>
      </c>
    </row>
    <row r="14" spans="4:14" x14ac:dyDescent="0.3">
      <c r="D14" s="10" t="s">
        <v>6</v>
      </c>
      <c r="E14" s="10" t="s">
        <v>7</v>
      </c>
      <c r="F14" s="33"/>
      <c r="G14" s="176"/>
      <c r="H14" s="63" t="str">
        <f>IF(AND($G$18="sì",COUNTA($F$14:$F$17)&gt;0),"CT!","OK")</f>
        <v>OK</v>
      </c>
      <c r="I14"/>
      <c r="K14" s="3"/>
      <c r="L14" s="3"/>
      <c r="M14" s="3" t="s">
        <v>128</v>
      </c>
      <c r="N14" s="165"/>
    </row>
    <row r="15" spans="4:14" x14ac:dyDescent="0.3">
      <c r="D15" s="10" t="s">
        <v>6</v>
      </c>
      <c r="E15" s="10" t="s">
        <v>58</v>
      </c>
      <c r="F15" s="33"/>
      <c r="G15" s="177"/>
      <c r="H15" s="63" t="str">
        <f>IF(AND($G$18="sì",COUNTA($F$14:$F$17)&gt;0),"CT!","OK")</f>
        <v>OK</v>
      </c>
      <c r="I15"/>
      <c r="J15" s="68"/>
      <c r="K15" s="3" t="s">
        <v>73</v>
      </c>
      <c r="L15" s="165"/>
      <c r="M15" s="93" t="s">
        <v>78</v>
      </c>
      <c r="N15" s="2">
        <f>+N14*N9</f>
        <v>0</v>
      </c>
    </row>
    <row r="16" spans="4:14" x14ac:dyDescent="0.3">
      <c r="D16" s="10" t="s">
        <v>6</v>
      </c>
      <c r="E16" s="10" t="s">
        <v>10</v>
      </c>
      <c r="F16" s="34"/>
      <c r="G16" s="177"/>
      <c r="H16" s="63" t="str">
        <f>IF(AND($G$18="sì",COUNTA($F$14:$F$17)&gt;0),"CT!","OK")</f>
        <v>OK</v>
      </c>
      <c r="I16"/>
      <c r="K16" s="3" t="s">
        <v>74</v>
      </c>
      <c r="L16" s="3">
        <f>IF(L15&gt;0,L9/L15,0)</f>
        <v>0</v>
      </c>
      <c r="M16" s="3"/>
      <c r="N16" s="3"/>
    </row>
    <row r="17" spans="4:21" x14ac:dyDescent="0.3">
      <c r="D17" s="10" t="s">
        <v>6</v>
      </c>
      <c r="E17" s="10" t="s">
        <v>11</v>
      </c>
      <c r="F17" s="33"/>
      <c r="G17" s="178"/>
      <c r="H17" s="63" t="str">
        <f>IF(AND($G$18="sì",COUNTA($F$14:$F$17)&gt;0),"CT!","OK")</f>
        <v>OK</v>
      </c>
      <c r="I17" s="55"/>
      <c r="K17" s="3" t="s">
        <v>83</v>
      </c>
      <c r="L17" s="165">
        <v>0</v>
      </c>
      <c r="M17" s="38" t="s">
        <v>79</v>
      </c>
      <c r="N17" s="167"/>
    </row>
    <row r="18" spans="4:21" x14ac:dyDescent="0.3">
      <c r="D18" s="11" t="s">
        <v>18</v>
      </c>
      <c r="E18" s="16" t="s">
        <v>42</v>
      </c>
      <c r="F18" s="20">
        <f>IF(G18="no",F14*$M$2+F15*F14*$M$1+F16*F17,0)</f>
        <v>0</v>
      </c>
      <c r="G18" s="158" t="s">
        <v>45</v>
      </c>
      <c r="H18" s="159"/>
      <c r="I18" t="str">
        <f>IF(G18="no","ok","INSERIRE VALORE e cancellare ore e colonna F")</f>
        <v>ok</v>
      </c>
      <c r="K18" s="2" t="s">
        <v>75</v>
      </c>
      <c r="L18" s="2">
        <f>+L17*L16</f>
        <v>0</v>
      </c>
      <c r="M18" s="3"/>
      <c r="N18" s="3"/>
    </row>
    <row r="19" spans="4:21" x14ac:dyDescent="0.3">
      <c r="D19" s="15" t="s">
        <v>5</v>
      </c>
      <c r="E19" s="15" t="s">
        <v>7</v>
      </c>
      <c r="F19" s="33"/>
      <c r="G19" s="176"/>
      <c r="H19" s="63" t="str">
        <f>IF(AND($G$23="sì",COUNTA($F$19:$F$22)&gt;0),"CT!","OK")</f>
        <v>OK</v>
      </c>
      <c r="I19"/>
      <c r="K19" s="3"/>
      <c r="L19" s="3"/>
      <c r="M19" s="101" t="s">
        <v>80</v>
      </c>
      <c r="N19" s="102">
        <f>+N17*N9</f>
        <v>0</v>
      </c>
    </row>
    <row r="20" spans="4:21" x14ac:dyDescent="0.3">
      <c r="D20" s="15" t="s">
        <v>5</v>
      </c>
      <c r="E20" s="15" t="s">
        <v>58</v>
      </c>
      <c r="F20" s="33"/>
      <c r="G20" s="177"/>
      <c r="H20" s="63" t="str">
        <f>IF(AND($G$23="sì",COUNTA($F$19:$F$22)&gt;0),"CT!","OK")</f>
        <v>OK</v>
      </c>
      <c r="I20"/>
      <c r="J20" s="68"/>
      <c r="K20" s="3" t="s">
        <v>76</v>
      </c>
      <c r="L20" s="165"/>
      <c r="M20" s="38"/>
      <c r="N20" s="3"/>
    </row>
    <row r="21" spans="4:21" x14ac:dyDescent="0.3">
      <c r="D21" s="15" t="s">
        <v>5</v>
      </c>
      <c r="E21" s="15" t="s">
        <v>14</v>
      </c>
      <c r="F21" s="34"/>
      <c r="G21" s="177"/>
      <c r="H21" s="63" t="str">
        <f>IF(AND($G$23="sì",COUNTA($F$19:$F$22)&gt;0),"CT!","OK")</f>
        <v>OK</v>
      </c>
      <c r="I21"/>
      <c r="K21" s="2" t="s">
        <v>184</v>
      </c>
      <c r="L21" s="2">
        <f>+L20*L9/1000</f>
        <v>0</v>
      </c>
      <c r="M21" s="38" t="s">
        <v>82</v>
      </c>
      <c r="N21" s="164"/>
    </row>
    <row r="22" spans="4:21" x14ac:dyDescent="0.3">
      <c r="D22" s="15" t="s">
        <v>5</v>
      </c>
      <c r="E22" s="15" t="s">
        <v>15</v>
      </c>
      <c r="F22" s="33"/>
      <c r="G22" s="178"/>
      <c r="H22" s="63" t="str">
        <f>IF(AND($G$23="sì",COUNTA($F$19:$F$22)&gt;0),"CT!","OK")</f>
        <v>OK</v>
      </c>
      <c r="I22" s="55"/>
      <c r="J22" s="68"/>
      <c r="K22" s="3"/>
      <c r="L22" s="3"/>
      <c r="M22" s="94" t="s">
        <v>81</v>
      </c>
      <c r="N22" s="2">
        <f>+N21*N19</f>
        <v>0</v>
      </c>
      <c r="P22" s="53" t="s">
        <v>139</v>
      </c>
    </row>
    <row r="23" spans="4:21" x14ac:dyDescent="0.3">
      <c r="D23" s="22" t="s">
        <v>19</v>
      </c>
      <c r="E23" s="16" t="s">
        <v>42</v>
      </c>
      <c r="F23" s="20">
        <f>IF(G23="no",F19*$M$2+F19*F20*$M$1+F21*F22,0)</f>
        <v>0</v>
      </c>
      <c r="G23" s="158" t="s">
        <v>45</v>
      </c>
      <c r="H23" s="159"/>
      <c r="I23" t="str">
        <f>IF(G23="no","ok","INSERIRE VALORE e cancellare ore e colonna F!")</f>
        <v>ok</v>
      </c>
      <c r="J23" s="71"/>
      <c r="K23" s="3"/>
      <c r="L23" s="3"/>
      <c r="M23" s="3"/>
      <c r="N23" s="3"/>
    </row>
    <row r="24" spans="4:21" x14ac:dyDescent="0.3">
      <c r="D24" s="7" t="s">
        <v>160</v>
      </c>
      <c r="E24" s="7" t="s">
        <v>7</v>
      </c>
      <c r="F24" s="139"/>
      <c r="G24" s="176"/>
      <c r="H24" s="63" t="str">
        <f>IF(AND($G$28="sì",COUNTA($F$24:$F$27)&gt;0),"CT!","OK")</f>
        <v>OK</v>
      </c>
      <c r="I24"/>
      <c r="K24" s="2" t="s">
        <v>179</v>
      </c>
      <c r="L24" s="91" t="e">
        <f>F79</f>
        <v>#DIV/0!</v>
      </c>
      <c r="M24" s="38" t="s">
        <v>120</v>
      </c>
      <c r="N24" s="120"/>
      <c r="P24" t="s">
        <v>122</v>
      </c>
      <c r="Q24" s="90"/>
      <c r="R24" s="90"/>
      <c r="S24" s="90"/>
      <c r="T24" s="90"/>
      <c r="U24" s="3"/>
    </row>
    <row r="25" spans="4:21" x14ac:dyDescent="0.3">
      <c r="D25" s="7" t="s">
        <v>160</v>
      </c>
      <c r="E25" s="7" t="s">
        <v>58</v>
      </c>
      <c r="F25" s="29"/>
      <c r="G25" s="177"/>
      <c r="H25" s="63" t="str">
        <f>IF(AND($G$28="sì",COUNTA($F$24:$F$27)&gt;0),"CT!","OK")</f>
        <v>OK</v>
      </c>
      <c r="I25"/>
      <c r="J25" s="68"/>
      <c r="K25" s="2" t="s">
        <v>180</v>
      </c>
      <c r="L25" s="92" t="e">
        <f>L24*M6*L8</f>
        <v>#DIV/0!</v>
      </c>
      <c r="M25" s="3"/>
      <c r="N25" s="3"/>
      <c r="Q25" s="3"/>
      <c r="R25" s="3"/>
      <c r="S25" s="3"/>
      <c r="T25" s="3"/>
      <c r="U25" s="204" t="str">
        <f>"Quantitativo disponibile, kg: "&amp;_xlfn.FLOOR.MATH(N19,100)</f>
        <v>Quantitativo disponibile, kg: 0</v>
      </c>
    </row>
    <row r="26" spans="4:21" x14ac:dyDescent="0.3">
      <c r="D26" s="7" t="s">
        <v>160</v>
      </c>
      <c r="E26" s="7" t="s">
        <v>12</v>
      </c>
      <c r="F26" s="29"/>
      <c r="G26" s="177"/>
      <c r="H26" s="63" t="str">
        <f>IF(AND($G$28="sì",COUNTA($F$24:$F$27)&gt;0),"CT!","OK")</f>
        <v>OK</v>
      </c>
      <c r="I26"/>
      <c r="K26" s="3"/>
      <c r="L26" s="3"/>
      <c r="M26" s="3" t="s">
        <v>74</v>
      </c>
      <c r="N26" s="3">
        <f>SUM(Q26:T26)</f>
        <v>0</v>
      </c>
      <c r="P26" t="s">
        <v>119</v>
      </c>
      <c r="Q26" s="90"/>
      <c r="R26" s="90"/>
      <c r="S26" s="90"/>
      <c r="T26" s="90"/>
      <c r="U26" s="204"/>
    </row>
    <row r="27" spans="4:21" x14ac:dyDescent="0.3">
      <c r="D27" s="7" t="s">
        <v>160</v>
      </c>
      <c r="E27" s="7" t="s">
        <v>13</v>
      </c>
      <c r="F27" s="28"/>
      <c r="G27" s="178"/>
      <c r="H27" s="63" t="str">
        <f>IF(AND($G$28="sì",COUNTA($F$24:$F$27)&gt;0),"CT!","OK")</f>
        <v>OK</v>
      </c>
      <c r="I27" s="55"/>
      <c r="K27" s="3"/>
      <c r="L27" s="3"/>
      <c r="M27" s="3" t="s">
        <v>124</v>
      </c>
      <c r="N27" s="104" t="e">
        <f>U27/N26</f>
        <v>#DIV/0!</v>
      </c>
      <c r="P27" t="s">
        <v>137</v>
      </c>
      <c r="Q27" s="121">
        <f>+Q26*Q24</f>
        <v>0</v>
      </c>
      <c r="R27" s="121">
        <f t="shared" ref="R27:T27" si="0">+R26*R24</f>
        <v>0</v>
      </c>
      <c r="S27" s="121">
        <f t="shared" si="0"/>
        <v>0</v>
      </c>
      <c r="T27" s="121">
        <f t="shared" si="0"/>
        <v>0</v>
      </c>
      <c r="U27" s="124">
        <f>SUM(Q27:T27)</f>
        <v>0</v>
      </c>
    </row>
    <row r="28" spans="4:21" x14ac:dyDescent="0.3">
      <c r="D28" s="8" t="s">
        <v>32</v>
      </c>
      <c r="E28" s="16" t="s">
        <v>42</v>
      </c>
      <c r="F28" s="20">
        <f>IF(G28="no",F24*$M$2+F25*F24*$M$1+F26*F27,0)</f>
        <v>0</v>
      </c>
      <c r="G28" s="158" t="s">
        <v>45</v>
      </c>
      <c r="H28" s="159"/>
      <c r="I28" t="str">
        <f>IF(G28="no","ok","INSERIRE VALORE e cancellare ore e colonna F")</f>
        <v>ok</v>
      </c>
      <c r="K28" s="3"/>
      <c r="L28" s="3"/>
      <c r="M28" s="3"/>
      <c r="N28" s="120"/>
      <c r="P28" t="s">
        <v>121</v>
      </c>
      <c r="Q28" s="123"/>
      <c r="R28" s="123"/>
      <c r="S28" s="123"/>
      <c r="T28" s="123"/>
      <c r="U28" s="204" t="str">
        <f>"Differenza, kg: "&amp;N19-U27</f>
        <v>Differenza, kg: 0</v>
      </c>
    </row>
    <row r="29" spans="4:21" x14ac:dyDescent="0.3">
      <c r="D29" s="10" t="s">
        <v>37</v>
      </c>
      <c r="E29" s="10" t="s">
        <v>7</v>
      </c>
      <c r="F29" s="34"/>
      <c r="G29" s="176"/>
      <c r="H29" s="63" t="str">
        <f>IF(AND($G$33="sì",COUNTA($F$29:$F$32)&gt;0),"CT!","OK")</f>
        <v>OK</v>
      </c>
      <c r="I29"/>
      <c r="K29" s="3"/>
      <c r="L29" s="3"/>
      <c r="M29" s="3"/>
      <c r="N29" s="120"/>
      <c r="P29" t="s">
        <v>138</v>
      </c>
      <c r="Q29" s="123"/>
      <c r="R29" s="123"/>
      <c r="S29" s="123"/>
      <c r="T29" s="123"/>
      <c r="U29" s="204"/>
    </row>
    <row r="30" spans="4:21" ht="15.75" customHeight="1" x14ac:dyDescent="0.3">
      <c r="D30" s="10" t="s">
        <v>37</v>
      </c>
      <c r="E30" s="10" t="s">
        <v>58</v>
      </c>
      <c r="F30" s="33"/>
      <c r="G30" s="177"/>
      <c r="H30" s="63" t="str">
        <f>IF(AND($G$33="sì",COUNTA($F$29:$F$32)&gt;0),"CT!","OK")</f>
        <v>OK</v>
      </c>
      <c r="I30" s="54"/>
      <c r="J30" s="68"/>
      <c r="K30" s="3"/>
      <c r="L30" s="3"/>
      <c r="M30" s="3"/>
      <c r="N30" s="3"/>
    </row>
    <row r="31" spans="4:21" x14ac:dyDescent="0.3">
      <c r="D31" s="21" t="s">
        <v>41</v>
      </c>
      <c r="E31" s="10" t="s">
        <v>10</v>
      </c>
      <c r="F31" s="34"/>
      <c r="G31" s="177"/>
      <c r="H31" s="63" t="str">
        <f>IF(AND($G$33="sì",COUNTA($F$29:$F$32)&gt;0),"CT!","OK")</f>
        <v>OK</v>
      </c>
      <c r="I31" s="54"/>
      <c r="K31" s="3"/>
      <c r="L31" s="3"/>
      <c r="M31" s="2" t="s">
        <v>149</v>
      </c>
      <c r="N31" s="125">
        <f>SUM(Q31:T31)</f>
        <v>0</v>
      </c>
      <c r="P31" t="s">
        <v>123</v>
      </c>
      <c r="Q31" s="122">
        <f>+Q26*Q28+Q26*Q29</f>
        <v>0</v>
      </c>
      <c r="R31" s="122">
        <f>+R26*R28+R26*R29</f>
        <v>0</v>
      </c>
      <c r="S31" s="122">
        <f>+S26*S28+S26*S29</f>
        <v>0</v>
      </c>
      <c r="T31" s="122">
        <f>+T26*T28+T26*T29</f>
        <v>0</v>
      </c>
    </row>
    <row r="32" spans="4:21" x14ac:dyDescent="0.3">
      <c r="D32" s="21" t="s">
        <v>41</v>
      </c>
      <c r="E32" s="10" t="s">
        <v>11</v>
      </c>
      <c r="F32" s="33"/>
      <c r="G32" s="178"/>
      <c r="H32" s="63" t="str">
        <f>IF(AND($G$33="sì",COUNTA($F$29:$F$32)&gt;0),"CT!","OK")</f>
        <v>OK</v>
      </c>
      <c r="I32" s="55"/>
      <c r="K32" s="3"/>
      <c r="L32" s="3"/>
      <c r="M32" s="3"/>
      <c r="N32" s="3"/>
      <c r="P32" t="s">
        <v>125</v>
      </c>
      <c r="Q32" s="123"/>
      <c r="R32" s="123"/>
      <c r="S32" s="123"/>
      <c r="T32" s="123"/>
    </row>
    <row r="33" spans="4:20" x14ac:dyDescent="0.3">
      <c r="D33" s="11" t="s">
        <v>28</v>
      </c>
      <c r="E33" s="16" t="s">
        <v>42</v>
      </c>
      <c r="F33" s="20">
        <f>IF(G33="no",F29*$M$2+F30*F29*$M$1+F31*F32)</f>
        <v>0</v>
      </c>
      <c r="G33" s="160" t="str">
        <f>G18</f>
        <v>no</v>
      </c>
      <c r="H33" s="159"/>
      <c r="I33" t="str">
        <f>IF(G33="no","ok","INSERIRE VALORE e cancellare ore e colonna F")</f>
        <v>ok</v>
      </c>
      <c r="K33" s="3"/>
      <c r="L33" s="3"/>
      <c r="M33" s="3" t="s">
        <v>89</v>
      </c>
      <c r="N33" s="164"/>
    </row>
    <row r="34" spans="4:20" x14ac:dyDescent="0.3">
      <c r="D34" s="10" t="s">
        <v>38</v>
      </c>
      <c r="E34" s="10" t="s">
        <v>7</v>
      </c>
      <c r="F34" s="34"/>
      <c r="G34" s="176"/>
      <c r="H34" s="63" t="str">
        <f>IF(AND($G$38="sì",COUNTA($F$34:$F$37)&gt;0),"CT!","OK")</f>
        <v>OK</v>
      </c>
      <c r="I34"/>
      <c r="K34" s="3"/>
      <c r="L34" s="3"/>
      <c r="M34" s="2" t="s">
        <v>84</v>
      </c>
      <c r="N34" s="2">
        <f>+N33*N19/1000*M2</f>
        <v>0</v>
      </c>
    </row>
    <row r="35" spans="4:20" x14ac:dyDescent="0.3">
      <c r="D35" s="10" t="s">
        <v>38</v>
      </c>
      <c r="E35" s="10" t="s">
        <v>58</v>
      </c>
      <c r="F35" s="33"/>
      <c r="G35" s="177"/>
      <c r="H35" s="63" t="str">
        <f>IF(AND($G$38="sì",COUNTA($F$34:$F$37)&gt;0),"CT!","OK")</f>
        <v>OK</v>
      </c>
      <c r="I35" s="54"/>
      <c r="J35" s="68"/>
      <c r="K35" s="3"/>
      <c r="L35" s="3"/>
      <c r="M35" s="3" t="s">
        <v>148</v>
      </c>
      <c r="N35" s="164"/>
    </row>
    <row r="36" spans="4:20" x14ac:dyDescent="0.3">
      <c r="D36" s="21" t="s">
        <v>41</v>
      </c>
      <c r="E36" s="10" t="s">
        <v>10</v>
      </c>
      <c r="F36" s="34"/>
      <c r="G36" s="177"/>
      <c r="H36" s="63" t="str">
        <f>IF(AND($G$38="sì",COUNTA($F$34:$F$37)&gt;0),"CT!","OK")</f>
        <v>OK</v>
      </c>
      <c r="I36" s="54"/>
      <c r="K36" s="3"/>
      <c r="L36" s="3"/>
      <c r="M36" s="3" t="s">
        <v>190</v>
      </c>
      <c r="N36" s="164"/>
      <c r="O36" s="205"/>
      <c r="P36" s="205"/>
      <c r="Q36" s="205"/>
      <c r="R36" s="205"/>
      <c r="S36" s="205"/>
      <c r="T36" s="205"/>
    </row>
    <row r="37" spans="4:20" x14ac:dyDescent="0.3">
      <c r="D37" s="21" t="s">
        <v>41</v>
      </c>
      <c r="E37" s="10" t="s">
        <v>11</v>
      </c>
      <c r="F37" s="33"/>
      <c r="G37" s="178"/>
      <c r="H37" s="63" t="str">
        <f>IF(AND($G$38="sì",COUNTA($F$34:$F$37)&gt;0),"CT!","OK")</f>
        <v>OK</v>
      </c>
      <c r="I37" s="55"/>
      <c r="K37" s="3"/>
      <c r="L37" s="3"/>
      <c r="M37" s="3"/>
      <c r="N37" s="3"/>
    </row>
    <row r="38" spans="4:20" x14ac:dyDescent="0.3">
      <c r="D38" s="11" t="s">
        <v>29</v>
      </c>
      <c r="E38" s="16" t="s">
        <v>42</v>
      </c>
      <c r="F38" s="20">
        <f>IF(G38="no",F34*$M$2+F35*F34*$M$1+F36*F37,0)</f>
        <v>0</v>
      </c>
      <c r="G38" s="160" t="str">
        <f>G18</f>
        <v>no</v>
      </c>
      <c r="H38" s="159"/>
      <c r="I38" t="str">
        <f>IF(G38="no","ok","INSERIRE VALORE e cancellare ore e colonna F")</f>
        <v>ok</v>
      </c>
      <c r="K38" s="3"/>
      <c r="L38" s="3"/>
      <c r="M38" s="2" t="s">
        <v>85</v>
      </c>
      <c r="N38" s="2">
        <f>+N36*N19</f>
        <v>0</v>
      </c>
    </row>
    <row r="39" spans="4:20" x14ac:dyDescent="0.3">
      <c r="D39" s="10" t="s">
        <v>31</v>
      </c>
      <c r="E39" s="10" t="s">
        <v>7</v>
      </c>
      <c r="F39" s="34"/>
      <c r="G39" s="176"/>
      <c r="H39" s="63" t="str">
        <f>IF(AND($G$43="sì",COUNTA($F$39:$F$42)&gt;0),"CT!","OK")</f>
        <v>OK</v>
      </c>
      <c r="I39"/>
      <c r="K39" s="86" t="s">
        <v>132</v>
      </c>
      <c r="L39" s="117" t="e">
        <f>+L40/L9*1000</f>
        <v>#DIV/0!</v>
      </c>
      <c r="M39" s="86" t="s">
        <v>116</v>
      </c>
      <c r="N39" s="119" t="e">
        <f>+N40/N19*1000</f>
        <v>#DIV/0!</v>
      </c>
    </row>
    <row r="40" spans="4:20" x14ac:dyDescent="0.3">
      <c r="D40" s="10" t="s">
        <v>31</v>
      </c>
      <c r="E40" s="10" t="s">
        <v>58</v>
      </c>
      <c r="F40" s="33"/>
      <c r="G40" s="177"/>
      <c r="H40" s="63" t="str">
        <f>IF(AND($G$43="sì",COUNTA($F$39:$F$42)&gt;0),"CT!","OK")</f>
        <v>OK</v>
      </c>
      <c r="I40" s="54"/>
      <c r="J40" s="68"/>
      <c r="K40" s="86" t="s">
        <v>77</v>
      </c>
      <c r="L40" s="117" t="e">
        <f>+L25+L21+L18+L13</f>
        <v>#DIV/0!</v>
      </c>
      <c r="M40" s="86" t="s">
        <v>77</v>
      </c>
      <c r="N40" s="96" t="e">
        <f>N13+N15+N22+N31+N34+N35+N38+N36</f>
        <v>#DIV/0!</v>
      </c>
    </row>
    <row r="41" spans="4:20" x14ac:dyDescent="0.3">
      <c r="D41" s="21" t="s">
        <v>41</v>
      </c>
      <c r="E41" s="10" t="s">
        <v>10</v>
      </c>
      <c r="F41" s="34"/>
      <c r="G41" s="177"/>
      <c r="H41" s="63" t="str">
        <f>IF(AND($G$43="sì",COUNTA($F$39:$F$42)&gt;0),"CT!","OK")</f>
        <v>OK</v>
      </c>
      <c r="I41" s="54"/>
      <c r="M41" s="3" t="s">
        <v>107</v>
      </c>
      <c r="N41" s="110" t="e">
        <f>+N39/1000</f>
        <v>#DIV/0!</v>
      </c>
    </row>
    <row r="42" spans="4:20" x14ac:dyDescent="0.3">
      <c r="D42" s="21" t="s">
        <v>41</v>
      </c>
      <c r="E42" s="10" t="s">
        <v>11</v>
      </c>
      <c r="F42" s="33"/>
      <c r="G42" s="178"/>
      <c r="H42" s="63" t="str">
        <f>IF(AND($G$43="sì",COUNTA($F$39:$F$42)&gt;0),"CT!","OK")</f>
        <v>OK</v>
      </c>
      <c r="I42" s="55"/>
      <c r="M42" s="2" t="s">
        <v>126</v>
      </c>
      <c r="N42" s="126" t="e">
        <f>SUMPRODUCT(Q32:T32,Q27:T27)/U27</f>
        <v>#DIV/0!</v>
      </c>
    </row>
    <row r="43" spans="4:20" x14ac:dyDescent="0.3">
      <c r="D43" s="11" t="s">
        <v>30</v>
      </c>
      <c r="E43" s="16" t="s">
        <v>42</v>
      </c>
      <c r="F43" s="20">
        <f>IF(G43="no",F39*$M$2+F40*F39*$M$1+F41*F42,0)</f>
        <v>0</v>
      </c>
      <c r="G43" s="160" t="str">
        <f>G18</f>
        <v>no</v>
      </c>
      <c r="H43" s="159"/>
      <c r="I43"/>
      <c r="M43" s="3"/>
      <c r="N43" s="3"/>
    </row>
    <row r="44" spans="4:20" x14ac:dyDescent="0.3">
      <c r="D44" s="12" t="s">
        <v>39</v>
      </c>
      <c r="E44" s="12" t="s">
        <v>7</v>
      </c>
      <c r="F44" s="33"/>
      <c r="G44" s="193"/>
      <c r="H44" s="63" t="str">
        <f>IF(AND($G$46="sì",COUNTA($F$44:$F$45)&gt;0),"CT!","OK")</f>
        <v>OK</v>
      </c>
      <c r="I44"/>
      <c r="M44" s="86" t="s">
        <v>150</v>
      </c>
      <c r="N44" s="127" t="e">
        <f>N42*N19</f>
        <v>#DIV/0!</v>
      </c>
    </row>
    <row r="45" spans="4:20" x14ac:dyDescent="0.3">
      <c r="D45" s="12" t="s">
        <v>39</v>
      </c>
      <c r="E45" s="12" t="s">
        <v>58</v>
      </c>
      <c r="F45" s="33"/>
      <c r="G45" s="194"/>
      <c r="H45" s="63" t="str">
        <f>IF(AND($G$46="sì",COUNTA($F$44:$F$45)&gt;0),"CT!","OK")</f>
        <v>OK</v>
      </c>
      <c r="I45" s="55"/>
      <c r="J45" s="68"/>
      <c r="M45" s="86" t="s">
        <v>151</v>
      </c>
      <c r="N45" s="164"/>
    </row>
    <row r="46" spans="4:20" x14ac:dyDescent="0.3">
      <c r="D46" s="13" t="s">
        <v>40</v>
      </c>
      <c r="E46" s="16" t="s">
        <v>42</v>
      </c>
      <c r="F46" s="20">
        <f>IF(G46="no",F44*$M$2+F45*F44*$M$1,0)</f>
        <v>0</v>
      </c>
      <c r="G46" s="158" t="s">
        <v>45</v>
      </c>
      <c r="H46" s="159"/>
      <c r="I46" t="str">
        <f>IF(G46="no","ok","INSERIRE VALORE e cancellare ore e colonna F")</f>
        <v>ok</v>
      </c>
      <c r="M46" s="86" t="s">
        <v>152</v>
      </c>
      <c r="N46" s="127" t="e">
        <f>+N45+N44</f>
        <v>#DIV/0!</v>
      </c>
    </row>
    <row r="47" spans="4:20" x14ac:dyDescent="0.3">
      <c r="D47" s="79" t="s">
        <v>62</v>
      </c>
      <c r="E47" s="80"/>
      <c r="F47" s="81"/>
      <c r="G47" s="82"/>
      <c r="H47" s="83"/>
      <c r="I47"/>
    </row>
    <row r="48" spans="4:20" x14ac:dyDescent="0.3">
      <c r="D48" s="84" t="s">
        <v>178</v>
      </c>
      <c r="E48" s="85" t="s">
        <v>42</v>
      </c>
      <c r="F48" s="162"/>
      <c r="G48" s="82"/>
      <c r="H48" s="83"/>
      <c r="I48"/>
      <c r="M48" s="2" t="s">
        <v>153</v>
      </c>
      <c r="N48" s="95" t="e">
        <f>+N46-N40</f>
        <v>#DIV/0!</v>
      </c>
    </row>
    <row r="49" spans="4:14" x14ac:dyDescent="0.3">
      <c r="D49" s="84" t="s">
        <v>63</v>
      </c>
      <c r="E49" s="85" t="s">
        <v>42</v>
      </c>
      <c r="F49" s="162"/>
      <c r="G49" s="82"/>
      <c r="H49" s="83"/>
      <c r="I49"/>
      <c r="M49" s="2" t="s">
        <v>87</v>
      </c>
      <c r="N49" s="37" t="e">
        <f>+N48/N40</f>
        <v>#DIV/0!</v>
      </c>
    </row>
    <row r="50" spans="4:14" x14ac:dyDescent="0.3">
      <c r="D50" s="79" t="s">
        <v>64</v>
      </c>
      <c r="E50" s="80" t="s">
        <v>42</v>
      </c>
      <c r="F50" s="81">
        <f>SUM(F48:F49)</f>
        <v>0</v>
      </c>
      <c r="G50" s="82"/>
      <c r="H50" s="83"/>
      <c r="I50"/>
    </row>
    <row r="51" spans="4:14" x14ac:dyDescent="0.3">
      <c r="D51" s="173" t="s">
        <v>54</v>
      </c>
      <c r="E51" s="7" t="s">
        <v>55</v>
      </c>
      <c r="F51" s="66">
        <f>+(F6+F8+F11+F14+F19+F24+F29+F34+F39+F44)*F3</f>
        <v>0</v>
      </c>
      <c r="G51" s="176"/>
      <c r="H51" s="186"/>
      <c r="I51"/>
      <c r="J51" s="30"/>
    </row>
    <row r="52" spans="4:14" x14ac:dyDescent="0.3">
      <c r="D52" s="174"/>
      <c r="E52" s="69" t="s">
        <v>57</v>
      </c>
      <c r="F52" s="66">
        <f>+F51*M2</f>
        <v>0</v>
      </c>
      <c r="G52" s="177"/>
      <c r="H52" s="187"/>
      <c r="I52"/>
    </row>
    <row r="53" spans="4:14" x14ac:dyDescent="0.3">
      <c r="D53" s="174"/>
      <c r="E53" s="7" t="s">
        <v>47</v>
      </c>
      <c r="F53" s="66">
        <f>(F7*F6+F12*F11+F15*F14+F20*F19+F25*F24+F30*F29+F35*F34+F40*F39+F45*F44+F9*F8)*F3</f>
        <v>0</v>
      </c>
      <c r="G53" s="177"/>
      <c r="H53" s="187"/>
      <c r="I53"/>
      <c r="J53" s="25"/>
    </row>
    <row r="54" spans="4:14" x14ac:dyDescent="0.3">
      <c r="D54" s="174"/>
      <c r="E54" s="69" t="s">
        <v>56</v>
      </c>
      <c r="F54" s="66">
        <f>F53*M1</f>
        <v>0</v>
      </c>
      <c r="G54" s="177"/>
      <c r="H54" s="187"/>
      <c r="I54"/>
      <c r="J54" s="25"/>
    </row>
    <row r="55" spans="4:14" x14ac:dyDescent="0.3">
      <c r="D55" s="174"/>
      <c r="E55" s="69" t="s">
        <v>48</v>
      </c>
      <c r="F55" s="67">
        <f>+(F17*F16+F22*F21+F27+F26+F32*F31+F37*F36+F42*F41)*F3</f>
        <v>0</v>
      </c>
      <c r="G55" s="177"/>
      <c r="H55" s="187"/>
      <c r="I55"/>
    </row>
    <row r="56" spans="4:14" x14ac:dyDescent="0.3">
      <c r="D56" s="174"/>
      <c r="E56" s="7" t="s">
        <v>50</v>
      </c>
      <c r="F56" s="66">
        <f>+(F17+F22+F27+F32+F37+F42)*F3</f>
        <v>0</v>
      </c>
      <c r="G56" s="177"/>
      <c r="H56" s="187"/>
      <c r="I56"/>
    </row>
    <row r="57" spans="4:14" x14ac:dyDescent="0.3">
      <c r="D57" s="175"/>
      <c r="E57" s="7" t="s">
        <v>51</v>
      </c>
      <c r="F57" s="65">
        <f>H59</f>
        <v>0</v>
      </c>
      <c r="G57" s="178"/>
      <c r="H57" s="188"/>
      <c r="I57" s="55"/>
    </row>
    <row r="58" spans="4:14" x14ac:dyDescent="0.3">
      <c r="D58" s="73"/>
      <c r="E58" s="7" t="s">
        <v>65</v>
      </c>
      <c r="F58" s="65">
        <f>F50*F3</f>
        <v>0</v>
      </c>
      <c r="G58" s="75"/>
      <c r="H58" s="74"/>
      <c r="I58" s="55"/>
    </row>
    <row r="59" spans="4:14" x14ac:dyDescent="0.3">
      <c r="D59" s="8" t="s">
        <v>25</v>
      </c>
      <c r="E59" s="16" t="s">
        <v>42</v>
      </c>
      <c r="F59" s="9" t="e">
        <f>+F60/F3</f>
        <v>#DIV/0!</v>
      </c>
      <c r="G59" s="47"/>
      <c r="H59" s="64">
        <f>+($H$10+$H$13+$H$18+$H$23+$H$28+$H$33+$H$38+$H$43+$H$46)</f>
        <v>0</v>
      </c>
      <c r="I59"/>
    </row>
    <row r="60" spans="4:14" x14ac:dyDescent="0.3">
      <c r="D60" s="2" t="s">
        <v>59</v>
      </c>
      <c r="E60" s="2" t="s">
        <v>49</v>
      </c>
      <c r="F60" s="5">
        <f>+F57+F55+F54+F52+F58</f>
        <v>0</v>
      </c>
      <c r="G60" s="49"/>
      <c r="H60" s="5"/>
    </row>
    <row r="61" spans="4:14" x14ac:dyDescent="0.3">
      <c r="I61" s="57"/>
    </row>
    <row r="62" spans="4:14" x14ac:dyDescent="0.3">
      <c r="D62" s="2" t="s">
        <v>35</v>
      </c>
      <c r="E62" s="3"/>
      <c r="F62" s="26"/>
      <c r="G62" s="50"/>
      <c r="H62" s="26"/>
      <c r="I62" s="58"/>
    </row>
    <row r="63" spans="4:14" x14ac:dyDescent="0.3">
      <c r="D63" s="3" t="s">
        <v>20</v>
      </c>
      <c r="E63" s="3" t="s">
        <v>23</v>
      </c>
      <c r="F63" s="5">
        <f>IF(AND(G10="no",G13="no"), F10+F13,IF(AND(G10="sì",G13="no"),H10+F13,IF(AND(G10="sì",G13="sì"),H10+H13,IF(AND(G13="sì",G10="no"),H13+F10))))</f>
        <v>0</v>
      </c>
      <c r="G63" s="51"/>
      <c r="H63" s="4"/>
      <c r="I63" s="58"/>
    </row>
    <row r="64" spans="4:14" x14ac:dyDescent="0.3">
      <c r="D64" s="3" t="s">
        <v>5</v>
      </c>
      <c r="E64" s="3" t="s">
        <v>23</v>
      </c>
      <c r="F64" s="5">
        <f>IF(G23="no",F23,H23)</f>
        <v>0</v>
      </c>
      <c r="G64" s="51"/>
      <c r="H64" s="4"/>
      <c r="I64" s="58"/>
    </row>
    <row r="65" spans="4:10" x14ac:dyDescent="0.3">
      <c r="D65" s="3" t="s">
        <v>21</v>
      </c>
      <c r="E65" s="3" t="s">
        <v>23</v>
      </c>
      <c r="F65" s="5">
        <f>IF(G18="no",F18+F33+F38+F43,IF(G18="sì",H18+H33+H38+H43))</f>
        <v>0</v>
      </c>
      <c r="G65" s="51"/>
      <c r="H65" s="4"/>
      <c r="I65" s="58"/>
    </row>
    <row r="66" spans="4:10" x14ac:dyDescent="0.3">
      <c r="D66" s="7" t="s">
        <v>160</v>
      </c>
      <c r="E66" s="3" t="s">
        <v>23</v>
      </c>
      <c r="F66" s="5">
        <f>IF(G28="no",F28,IF(G28="sì",H28))</f>
        <v>0</v>
      </c>
      <c r="G66" s="51"/>
      <c r="H66" s="4"/>
      <c r="I66" s="58"/>
    </row>
    <row r="67" spans="4:10" x14ac:dyDescent="0.3">
      <c r="D67" s="3" t="s">
        <v>22</v>
      </c>
      <c r="E67" s="3" t="s">
        <v>23</v>
      </c>
      <c r="F67" s="5">
        <f>IF(G46="no",F46,IF(G46="sì",H46))</f>
        <v>0</v>
      </c>
      <c r="G67" s="51"/>
      <c r="H67" s="4"/>
      <c r="I67" s="56"/>
      <c r="J67" s="24"/>
    </row>
    <row r="68" spans="4:10" x14ac:dyDescent="0.3">
      <c r="D68" s="3" t="s">
        <v>62</v>
      </c>
      <c r="E68" s="3" t="s">
        <v>23</v>
      </c>
      <c r="F68" s="5">
        <f>F58</f>
        <v>0</v>
      </c>
      <c r="G68" s="51"/>
      <c r="H68" s="4"/>
      <c r="I68" s="56"/>
      <c r="J68" s="24"/>
    </row>
    <row r="69" spans="4:10" x14ac:dyDescent="0.3">
      <c r="D69" s="2" t="s">
        <v>25</v>
      </c>
      <c r="E69" s="3" t="s">
        <v>23</v>
      </c>
      <c r="F69" s="5">
        <f>+SUM(F63:F68)</f>
        <v>0</v>
      </c>
      <c r="G69" s="49"/>
      <c r="H69" s="5"/>
      <c r="I69" s="58"/>
    </row>
    <row r="70" spans="4:10" x14ac:dyDescent="0.3">
      <c r="D70" s="3"/>
      <c r="E70" s="3"/>
      <c r="F70" s="4"/>
      <c r="G70" s="51"/>
      <c r="H70" s="4"/>
      <c r="I70" s="58"/>
    </row>
    <row r="71" spans="4:10" x14ac:dyDescent="0.3">
      <c r="D71" s="3" t="str">
        <f>D4</f>
        <v>Resa</v>
      </c>
      <c r="E71" s="3" t="str">
        <f>E4</f>
        <v>t/ha</v>
      </c>
      <c r="F71" s="4">
        <f>F4</f>
        <v>0</v>
      </c>
      <c r="G71" s="51"/>
      <c r="H71" s="4"/>
      <c r="I71" s="58"/>
    </row>
    <row r="72" spans="4:10" x14ac:dyDescent="0.3">
      <c r="D72" s="3"/>
      <c r="E72" s="3"/>
      <c r="F72" s="4"/>
      <c r="G72" s="51"/>
      <c r="H72" s="4"/>
      <c r="I72" s="58"/>
    </row>
    <row r="73" spans="4:10" x14ac:dyDescent="0.3">
      <c r="D73" s="3" t="s">
        <v>20</v>
      </c>
      <c r="E73" s="3" t="s">
        <v>24</v>
      </c>
      <c r="F73" s="4" t="e">
        <f t="shared" ref="F73:F78" si="1">F63/$F$71</f>
        <v>#DIV/0!</v>
      </c>
      <c r="G73" s="51"/>
      <c r="H73" s="4"/>
      <c r="I73" s="58"/>
    </row>
    <row r="74" spans="4:10" x14ac:dyDescent="0.3">
      <c r="D74" s="3" t="s">
        <v>5</v>
      </c>
      <c r="E74" s="3" t="s">
        <v>24</v>
      </c>
      <c r="F74" s="4" t="e">
        <f t="shared" si="1"/>
        <v>#DIV/0!</v>
      </c>
      <c r="G74" s="51"/>
      <c r="H74" s="4"/>
      <c r="I74" s="58"/>
    </row>
    <row r="75" spans="4:10" x14ac:dyDescent="0.3">
      <c r="D75" s="3" t="s">
        <v>21</v>
      </c>
      <c r="E75" s="3" t="s">
        <v>24</v>
      </c>
      <c r="F75" s="4" t="e">
        <f t="shared" si="1"/>
        <v>#DIV/0!</v>
      </c>
      <c r="G75" s="51"/>
      <c r="H75" s="4"/>
      <c r="I75" s="58"/>
    </row>
    <row r="76" spans="4:10" x14ac:dyDescent="0.3">
      <c r="D76" s="7" t="s">
        <v>160</v>
      </c>
      <c r="E76" s="3" t="s">
        <v>24</v>
      </c>
      <c r="F76" s="4" t="e">
        <f t="shared" si="1"/>
        <v>#DIV/0!</v>
      </c>
      <c r="G76" s="51"/>
      <c r="H76" s="4"/>
      <c r="I76" s="58"/>
    </row>
    <row r="77" spans="4:10" x14ac:dyDescent="0.3">
      <c r="D77" s="3" t="s">
        <v>22</v>
      </c>
      <c r="E77" s="3" t="s">
        <v>24</v>
      </c>
      <c r="F77" s="4" t="e">
        <f t="shared" si="1"/>
        <v>#DIV/0!</v>
      </c>
      <c r="G77" s="51"/>
      <c r="H77" s="4"/>
      <c r="I77" s="56"/>
    </row>
    <row r="78" spans="4:10" x14ac:dyDescent="0.3">
      <c r="D78" s="3" t="s">
        <v>62</v>
      </c>
      <c r="E78" s="3" t="s">
        <v>24</v>
      </c>
      <c r="F78" s="4" t="e">
        <f t="shared" si="1"/>
        <v>#DIV/0!</v>
      </c>
      <c r="G78" s="51"/>
      <c r="H78" s="4"/>
      <c r="I78" s="56"/>
    </row>
    <row r="79" spans="4:10" x14ac:dyDescent="0.3">
      <c r="D79" s="2" t="s">
        <v>25</v>
      </c>
      <c r="E79" s="3" t="s">
        <v>24</v>
      </c>
      <c r="F79" s="5" t="e">
        <f>SUM(F73:F78)</f>
        <v>#DIV/0!</v>
      </c>
      <c r="G79" s="49"/>
      <c r="H79" s="5"/>
    </row>
    <row r="81" spans="9:14" x14ac:dyDescent="0.3">
      <c r="I81"/>
    </row>
    <row r="82" spans="9:14" x14ac:dyDescent="0.3">
      <c r="I82" s="59"/>
    </row>
    <row r="83" spans="9:14" x14ac:dyDescent="0.3">
      <c r="I83" s="59"/>
    </row>
    <row r="84" spans="9:14" x14ac:dyDescent="0.3">
      <c r="I84" s="59"/>
    </row>
    <row r="85" spans="9:14" x14ac:dyDescent="0.3">
      <c r="I85" s="59"/>
    </row>
    <row r="86" spans="9:14" x14ac:dyDescent="0.3">
      <c r="I86" s="59"/>
    </row>
    <row r="87" spans="9:14" x14ac:dyDescent="0.3">
      <c r="I87" s="59"/>
    </row>
    <row r="88" spans="9:14" x14ac:dyDescent="0.3">
      <c r="I88" s="59"/>
    </row>
    <row r="89" spans="9:14" x14ac:dyDescent="0.3">
      <c r="I89" s="60"/>
    </row>
    <row r="90" spans="9:14" x14ac:dyDescent="0.3">
      <c r="I90" s="59"/>
    </row>
    <row r="91" spans="9:14" x14ac:dyDescent="0.3">
      <c r="I91" s="59"/>
    </row>
    <row r="92" spans="9:14" x14ac:dyDescent="0.3">
      <c r="I92" s="59"/>
    </row>
    <row r="93" spans="9:14" x14ac:dyDescent="0.3">
      <c r="I93" s="59"/>
      <c r="N93" s="36"/>
    </row>
    <row r="94" spans="9:14" x14ac:dyDescent="0.3">
      <c r="I94" s="59"/>
      <c r="L94" s="36"/>
      <c r="M94" s="36"/>
      <c r="N94" s="31"/>
    </row>
    <row r="95" spans="9:14" x14ac:dyDescent="0.3">
      <c r="I95" s="59"/>
      <c r="L95" s="31"/>
      <c r="M95" s="31"/>
      <c r="N95" s="32"/>
    </row>
    <row r="96" spans="9:14" x14ac:dyDescent="0.3">
      <c r="I96" s="60"/>
      <c r="L96" s="32"/>
      <c r="M96" s="32"/>
      <c r="N96" s="32"/>
    </row>
    <row r="97" spans="6:14" x14ac:dyDescent="0.3">
      <c r="I97" s="60"/>
      <c r="L97" s="32"/>
      <c r="M97" s="32"/>
      <c r="N97" s="32"/>
    </row>
    <row r="98" spans="6:14" x14ac:dyDescent="0.3">
      <c r="I98" s="60"/>
      <c r="L98" s="32"/>
      <c r="M98" s="32"/>
      <c r="N98" s="32"/>
    </row>
    <row r="99" spans="6:14" x14ac:dyDescent="0.3">
      <c r="I99"/>
      <c r="L99" s="32"/>
      <c r="M99" s="32"/>
      <c r="N99" s="32"/>
    </row>
    <row r="100" spans="6:14" x14ac:dyDescent="0.3">
      <c r="I100" s="59"/>
      <c r="L100" s="32"/>
      <c r="M100" s="32"/>
      <c r="N100" s="32"/>
    </row>
    <row r="101" spans="6:14" ht="15" customHeight="1" x14ac:dyDescent="0.3">
      <c r="I101" s="59"/>
      <c r="L101" s="32"/>
      <c r="M101" s="32"/>
      <c r="N101" s="32"/>
    </row>
    <row r="102" spans="6:14" ht="18.75" customHeight="1" x14ac:dyDescent="0.3">
      <c r="I102" s="60"/>
      <c r="J102" s="189"/>
      <c r="L102" s="32"/>
      <c r="M102" s="32"/>
      <c r="N102" s="32"/>
    </row>
    <row r="103" spans="6:14" ht="18.75" customHeight="1" x14ac:dyDescent="0.3">
      <c r="I103" s="60"/>
      <c r="J103" s="189"/>
      <c r="L103" s="32"/>
      <c r="M103" s="32"/>
      <c r="N103" s="32"/>
    </row>
    <row r="104" spans="6:14" x14ac:dyDescent="0.3">
      <c r="I104" s="60"/>
      <c r="J104" s="189"/>
      <c r="L104" s="32"/>
      <c r="M104" s="32"/>
      <c r="N104" s="32"/>
    </row>
    <row r="105" spans="6:14" x14ac:dyDescent="0.3">
      <c r="I105" s="59"/>
      <c r="J105" s="189"/>
      <c r="L105" s="32"/>
      <c r="M105" s="32"/>
      <c r="N105" s="32"/>
    </row>
    <row r="106" spans="6:14" x14ac:dyDescent="0.3">
      <c r="F106"/>
      <c r="G106"/>
      <c r="H106"/>
      <c r="I106"/>
      <c r="J106" s="189"/>
      <c r="L106" s="32"/>
      <c r="M106" s="32"/>
    </row>
    <row r="107" spans="6:14" x14ac:dyDescent="0.3">
      <c r="F107"/>
      <c r="G107"/>
      <c r="H107"/>
      <c r="I107"/>
      <c r="J107" s="189"/>
    </row>
    <row r="108" spans="6:14" x14ac:dyDescent="0.3">
      <c r="F108"/>
      <c r="G108"/>
      <c r="H108"/>
      <c r="I108"/>
      <c r="J108" s="189"/>
    </row>
    <row r="109" spans="6:14" x14ac:dyDescent="0.3">
      <c r="I109" s="58"/>
      <c r="J109" s="189"/>
    </row>
    <row r="110" spans="6:14" x14ac:dyDescent="0.3">
      <c r="I110" s="58"/>
      <c r="J110" s="189"/>
    </row>
    <row r="111" spans="6:14" x14ac:dyDescent="0.3">
      <c r="I111" s="58"/>
      <c r="J111" s="189"/>
    </row>
    <row r="112" spans="6:14" x14ac:dyDescent="0.3">
      <c r="I112" s="58"/>
    </row>
    <row r="113" spans="9:9" x14ac:dyDescent="0.3">
      <c r="I113" s="58"/>
    </row>
    <row r="114" spans="9:9" x14ac:dyDescent="0.3">
      <c r="I114" s="58"/>
    </row>
    <row r="115" spans="9:9" x14ac:dyDescent="0.3">
      <c r="I115" s="58"/>
    </row>
    <row r="116" spans="9:9" x14ac:dyDescent="0.3">
      <c r="I116" s="58"/>
    </row>
    <row r="117" spans="9:9" x14ac:dyDescent="0.3">
      <c r="I117" s="58"/>
    </row>
    <row r="118" spans="9:9" x14ac:dyDescent="0.3">
      <c r="I118" s="58"/>
    </row>
    <row r="119" spans="9:9" x14ac:dyDescent="0.3">
      <c r="I119" s="58"/>
    </row>
    <row r="120" spans="9:9" x14ac:dyDescent="0.3">
      <c r="I120" s="58"/>
    </row>
  </sheetData>
  <sheetProtection algorithmName="SHA-512" hashValue="bPEeOiaZpN1qrp7YiE77sw8yjkGbF9b3u8gIs+EUDAW7myOiDjLjhfToH3wRY65m0w5zkx99QKcTkNn9hH5CTA==" saltValue="QS7xKeQm56cFZ2Q45NkSIQ==" spinCount="100000" sheet="1" objects="1" scenarios="1"/>
  <mergeCells count="18">
    <mergeCell ref="U25:U26"/>
    <mergeCell ref="U28:U29"/>
    <mergeCell ref="O36:T36"/>
    <mergeCell ref="H51:H57"/>
    <mergeCell ref="J102:J111"/>
    <mergeCell ref="D51:D57"/>
    <mergeCell ref="G51:G57"/>
    <mergeCell ref="G19:G22"/>
    <mergeCell ref="F1:H1"/>
    <mergeCell ref="G3:H5"/>
    <mergeCell ref="G6:G9"/>
    <mergeCell ref="G11:G12"/>
    <mergeCell ref="G14:G17"/>
    <mergeCell ref="G24:G27"/>
    <mergeCell ref="G29:G32"/>
    <mergeCell ref="G34:G37"/>
    <mergeCell ref="G39:G42"/>
    <mergeCell ref="G44:G45"/>
  </mergeCells>
  <conditionalFormatting sqref="F44:F45">
    <cfRule type="expression" dxfId="29" priority="1">
      <formula>$G$46="Sì"</formula>
    </cfRule>
    <cfRule type="expression" dxfId="28" priority="2">
      <formula>$G$46="S'"</formula>
    </cfRule>
  </conditionalFormatting>
  <conditionalFormatting sqref="H6:H9">
    <cfRule type="containsText" dxfId="27" priority="33" operator="containsText" text="OK">
      <formula>NOT(ISERROR(SEARCH("OK",H6)))</formula>
    </cfRule>
    <cfRule type="containsText" dxfId="26" priority="34" operator="containsText" text="CT">
      <formula>NOT(ISERROR(SEARCH("CT",H6)))</formula>
    </cfRule>
  </conditionalFormatting>
  <conditionalFormatting sqref="H6:H44 H46:H52">
    <cfRule type="containsText" dxfId="25" priority="35" operator="containsText" text="Cct!">
      <formula>NOT(ISERROR(SEARCH("Cct!",H6)))</formula>
    </cfRule>
  </conditionalFormatting>
  <conditionalFormatting sqref="H11:H12">
    <cfRule type="containsText" dxfId="24" priority="31" operator="containsText" text="OK">
      <formula>NOT(ISERROR(SEARCH("OK",H11)))</formula>
    </cfRule>
    <cfRule type="containsText" dxfId="23" priority="32" operator="containsText" text="CT">
      <formula>NOT(ISERROR(SEARCH("CT",H11)))</formula>
    </cfRule>
  </conditionalFormatting>
  <conditionalFormatting sqref="H14:H17">
    <cfRule type="containsText" dxfId="22" priority="29" operator="containsText" text="OK">
      <formula>NOT(ISERROR(SEARCH("OK",H14)))</formula>
    </cfRule>
    <cfRule type="containsText" dxfId="21" priority="30" operator="containsText" text="CT">
      <formula>NOT(ISERROR(SEARCH("CT",H14)))</formula>
    </cfRule>
  </conditionalFormatting>
  <conditionalFormatting sqref="H19:H22">
    <cfRule type="containsText" dxfId="20" priority="27" operator="containsText" text="OK">
      <formula>NOT(ISERROR(SEARCH("OK",H19)))</formula>
    </cfRule>
    <cfRule type="containsText" dxfId="19" priority="28" operator="containsText" text="CT">
      <formula>NOT(ISERROR(SEARCH("CT",H19)))</formula>
    </cfRule>
  </conditionalFormatting>
  <conditionalFormatting sqref="H24:H27">
    <cfRule type="containsText" dxfId="18" priority="25" operator="containsText" text="OK">
      <formula>NOT(ISERROR(SEARCH("OK",H24)))</formula>
    </cfRule>
    <cfRule type="containsText" dxfId="17" priority="26" operator="containsText" text="CT">
      <formula>NOT(ISERROR(SEARCH("CT",H24)))</formula>
    </cfRule>
  </conditionalFormatting>
  <conditionalFormatting sqref="H29:H32">
    <cfRule type="containsText" dxfId="16" priority="23" operator="containsText" text="OK">
      <formula>NOT(ISERROR(SEARCH("OK",H29)))</formula>
    </cfRule>
    <cfRule type="containsText" dxfId="15" priority="24" operator="containsText" text="CT">
      <formula>NOT(ISERROR(SEARCH("CT",H29)))</formula>
    </cfRule>
  </conditionalFormatting>
  <conditionalFormatting sqref="H34:H37">
    <cfRule type="containsText" dxfId="14" priority="21" operator="containsText" text="OK">
      <formula>NOT(ISERROR(SEARCH("OK",H34)))</formula>
    </cfRule>
    <cfRule type="containsText" dxfId="13" priority="22" operator="containsText" text="CT">
      <formula>NOT(ISERROR(SEARCH("CT",H34)))</formula>
    </cfRule>
  </conditionalFormatting>
  <conditionalFormatting sqref="H39:H42">
    <cfRule type="containsText" dxfId="12" priority="19" operator="containsText" text="OK">
      <formula>NOT(ISERROR(SEARCH("OK",H39)))</formula>
    </cfRule>
    <cfRule type="containsText" dxfId="11" priority="20" operator="containsText" text="CT">
      <formula>NOT(ISERROR(SEARCH("CT",H39)))</formula>
    </cfRule>
  </conditionalFormatting>
  <conditionalFormatting sqref="H44:H45">
    <cfRule type="containsText" dxfId="10" priority="12" operator="containsText" text="OK">
      <formula>NOT(ISERROR(SEARCH("OK",H44)))</formula>
    </cfRule>
    <cfRule type="containsText" dxfId="9" priority="13" operator="containsText" text="CT">
      <formula>NOT(ISERROR(SEARCH("CT",H44)))</formula>
    </cfRule>
  </conditionalFormatting>
  <conditionalFormatting sqref="H45">
    <cfRule type="containsText" dxfId="8" priority="14" operator="containsText" text="Cct!">
      <formula>NOT(ISERROR(SEARCH("Cct!",H45)))</formula>
    </cfRule>
  </conditionalFormatting>
  <conditionalFormatting sqref="H51:H52">
    <cfRule type="containsText" dxfId="7" priority="17" operator="containsText" text="OK">
      <formula>NOT(ISERROR(SEARCH("OK",H51)))</formula>
    </cfRule>
    <cfRule type="containsText" dxfId="6" priority="18" operator="containsText" text="CT">
      <formula>NOT(ISERROR(SEARCH("CT",H51)))</formula>
    </cfRule>
  </conditionalFormatting>
  <conditionalFormatting sqref="I1:I1048576">
    <cfRule type="containsText" dxfId="5" priority="3" operator="containsText" text="VALORE">
      <formula>NOT(ISERROR(SEARCH("VALORE",I1)))</formula>
    </cfRule>
  </conditionalFormatting>
  <conditionalFormatting sqref="N31">
    <cfRule type="expression" dxfId="4" priority="4">
      <formula>($N$19-$U$27)&lt;0</formula>
    </cfRule>
  </conditionalFormatting>
  <conditionalFormatting sqref="N95:N105 L96:M106">
    <cfRule type="cellIs" dxfId="3" priority="36" operator="lessThan">
      <formula>0</formula>
    </cfRule>
  </conditionalFormatting>
  <conditionalFormatting sqref="U27">
    <cfRule type="expression" dxfId="2" priority="6">
      <formula>$U$27-$N$19&lt;0</formula>
    </cfRule>
    <cfRule type="expression" dxfId="1" priority="7">
      <formula>$U$27-$N$19&gt;0</formula>
    </cfRule>
  </conditionalFormatting>
  <dataValidations count="1">
    <dataValidation allowBlank="1" showInputMessage="1" showErrorMessage="1" sqref="N11" xr:uid="{7AB40E3C-C670-43B7-A439-B5A56976DEE4}"/>
  </dataValidation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&amp;L&amp;G&amp;COpen Fields per PTP&amp;RSimulazione costi e conto economico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AAD844-0856-4222-B080-14CD3B889D44}">
          <x14:formula1>
            <xm:f>Elenchi!$B$2:$B$3</xm:f>
          </x14:formula1>
          <xm:sqref>G13 G18 G23 G28 G33 G38 G10 G43:G50 I42 I37 I32 I27 I22 I17 I12 I9 I45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CF4E-2C91-4A9E-B85B-2AAA000529C2}">
  <sheetPr>
    <tabColor rgb="FF0099CC"/>
  </sheetPr>
  <dimension ref="D4:O101"/>
  <sheetViews>
    <sheetView zoomScale="85" zoomScaleNormal="85" workbookViewId="0">
      <pane xSplit="3" ySplit="1" topLeftCell="D2" activePane="bottomRight" state="frozen"/>
      <selection activeCell="O37" sqref="O37"/>
      <selection pane="topRight" activeCell="O37" sqref="O37"/>
      <selection pane="bottomLeft" activeCell="O37" sqref="O37"/>
      <selection pane="bottomRight" activeCell="K37" sqref="K37"/>
    </sheetView>
  </sheetViews>
  <sheetFormatPr defaultRowHeight="14.4" x14ac:dyDescent="0.3"/>
  <cols>
    <col min="1" max="1" width="2.44140625" customWidth="1"/>
    <col min="2" max="3" width="3.44140625" customWidth="1"/>
    <col min="4" max="4" width="56.109375" customWidth="1"/>
    <col min="5" max="5" width="13.5546875" customWidth="1"/>
    <col min="6" max="6" width="3" customWidth="1"/>
    <col min="7" max="7" width="38.109375" customWidth="1"/>
    <col min="8" max="8" width="17.109375" customWidth="1"/>
    <col min="9" max="9" width="11.77734375" bestFit="1" customWidth="1"/>
    <col min="13" max="13" width="45" customWidth="1"/>
    <col min="14" max="14" width="11.44140625" customWidth="1"/>
    <col min="15" max="15" width="12.77734375" customWidth="1"/>
    <col min="17" max="17" width="18.6640625" customWidth="1"/>
  </cols>
  <sheetData>
    <row r="4" spans="4:15" x14ac:dyDescent="0.3">
      <c r="D4" s="142" t="s">
        <v>68</v>
      </c>
      <c r="E4" s="88"/>
      <c r="G4" s="143" t="s">
        <v>69</v>
      </c>
      <c r="H4" s="134"/>
      <c r="M4" s="143" t="s">
        <v>104</v>
      </c>
      <c r="N4" s="134" t="s">
        <v>133</v>
      </c>
      <c r="O4" s="133" t="s">
        <v>134</v>
      </c>
    </row>
    <row r="5" spans="4:15" x14ac:dyDescent="0.3">
      <c r="M5" s="165"/>
      <c r="N5" s="169"/>
      <c r="O5" s="106" t="e">
        <f t="shared" ref="O5:O24" si="0">+N5/$N$27</f>
        <v>#DIV/0!</v>
      </c>
    </row>
    <row r="6" spans="4:15" x14ac:dyDescent="0.3">
      <c r="D6" s="38" t="s">
        <v>130</v>
      </c>
      <c r="E6" s="140"/>
      <c r="G6" s="3" t="s">
        <v>191</v>
      </c>
      <c r="H6" s="111">
        <f>E15</f>
        <v>0</v>
      </c>
      <c r="M6" s="165"/>
      <c r="N6" s="169"/>
      <c r="O6" s="106" t="e">
        <f t="shared" si="0"/>
        <v>#DIV/0!</v>
      </c>
    </row>
    <row r="7" spans="4:15" x14ac:dyDescent="0.3">
      <c r="D7" s="38"/>
      <c r="E7" s="3"/>
      <c r="G7" s="3"/>
      <c r="H7" s="3"/>
      <c r="I7" s="36"/>
      <c r="M7" s="165"/>
      <c r="N7" s="169"/>
      <c r="O7" s="106" t="e">
        <f t="shared" si="0"/>
        <v>#DIV/0!</v>
      </c>
    </row>
    <row r="8" spans="4:15" ht="28.8" customHeight="1" x14ac:dyDescent="0.3">
      <c r="D8" s="3" t="s">
        <v>93</v>
      </c>
      <c r="E8" s="164"/>
      <c r="G8" s="3" t="s">
        <v>107</v>
      </c>
      <c r="H8" s="104" t="e">
        <f>E24/1000</f>
        <v>#DIV/0!</v>
      </c>
      <c r="I8" s="77"/>
      <c r="M8" s="165"/>
      <c r="N8" s="169"/>
      <c r="O8" s="106" t="e">
        <f t="shared" si="0"/>
        <v>#DIV/0!</v>
      </c>
    </row>
    <row r="9" spans="4:15" x14ac:dyDescent="0.3">
      <c r="D9" s="2" t="s">
        <v>94</v>
      </c>
      <c r="E9" s="92">
        <f>E8*E6/1000</f>
        <v>0</v>
      </c>
      <c r="G9" s="2" t="s">
        <v>95</v>
      </c>
      <c r="H9" s="100" t="e">
        <f>H8*H6</f>
        <v>#DIV/0!</v>
      </c>
      <c r="I9" s="77"/>
      <c r="M9" s="165"/>
      <c r="N9" s="169"/>
      <c r="O9" s="106" t="e">
        <f t="shared" si="0"/>
        <v>#DIV/0!</v>
      </c>
    </row>
    <row r="10" spans="4:15" x14ac:dyDescent="0.3">
      <c r="D10" s="128" t="s">
        <v>127</v>
      </c>
      <c r="E10" s="165"/>
      <c r="G10" s="3"/>
      <c r="H10" s="3"/>
      <c r="I10" s="77"/>
      <c r="M10" s="165"/>
      <c r="N10" s="169"/>
      <c r="O10" s="106" t="e">
        <f t="shared" si="0"/>
        <v>#DIV/0!</v>
      </c>
    </row>
    <row r="11" spans="4:15" x14ac:dyDescent="0.3">
      <c r="D11" s="93" t="s">
        <v>78</v>
      </c>
      <c r="E11" s="2">
        <f>+E10*E6</f>
        <v>0</v>
      </c>
      <c r="G11" s="137" t="s">
        <v>97</v>
      </c>
      <c r="H11" s="138" t="s">
        <v>99</v>
      </c>
      <c r="I11" s="138" t="s">
        <v>72</v>
      </c>
      <c r="J11" s="138" t="s">
        <v>100</v>
      </c>
      <c r="K11" s="138" t="s">
        <v>98</v>
      </c>
      <c r="M11" s="165"/>
      <c r="N11" s="169"/>
      <c r="O11" s="106" t="e">
        <f t="shared" si="0"/>
        <v>#DIV/0!</v>
      </c>
    </row>
    <row r="12" spans="4:15" x14ac:dyDescent="0.3">
      <c r="D12" s="3"/>
      <c r="E12" s="3"/>
      <c r="G12" s="165"/>
      <c r="H12" s="168"/>
      <c r="I12" s="106">
        <f>+$H$6*H12</f>
        <v>0</v>
      </c>
      <c r="J12" s="164"/>
      <c r="K12" s="100">
        <f>+J12*I12</f>
        <v>0</v>
      </c>
      <c r="M12" s="165"/>
      <c r="N12" s="169"/>
      <c r="O12" s="106" t="e">
        <f t="shared" si="0"/>
        <v>#DIV/0!</v>
      </c>
    </row>
    <row r="13" spans="4:15" x14ac:dyDescent="0.3">
      <c r="D13" s="38" t="s">
        <v>79</v>
      </c>
      <c r="E13" s="167"/>
      <c r="G13" s="165"/>
      <c r="H13" s="168"/>
      <c r="I13" s="106">
        <f t="shared" ref="I13:I15" si="1">+$H$6*H13</f>
        <v>0</v>
      </c>
      <c r="J13" s="164"/>
      <c r="K13" s="100">
        <f t="shared" ref="K13:K15" si="2">+J13*I13</f>
        <v>0</v>
      </c>
      <c r="M13" s="165"/>
      <c r="N13" s="169"/>
      <c r="O13" s="106" t="e">
        <f t="shared" si="0"/>
        <v>#DIV/0!</v>
      </c>
    </row>
    <row r="14" spans="4:15" x14ac:dyDescent="0.3">
      <c r="D14" s="3"/>
      <c r="E14" s="3"/>
      <c r="G14" s="165"/>
      <c r="H14" s="168"/>
      <c r="I14" s="106">
        <f t="shared" si="1"/>
        <v>0</v>
      </c>
      <c r="J14" s="164"/>
      <c r="K14" s="100">
        <f t="shared" si="2"/>
        <v>0</v>
      </c>
      <c r="M14" s="165"/>
      <c r="N14" s="169"/>
      <c r="O14" s="106" t="e">
        <f t="shared" si="0"/>
        <v>#DIV/0!</v>
      </c>
    </row>
    <row r="15" spans="4:15" x14ac:dyDescent="0.3">
      <c r="D15" s="101" t="s">
        <v>80</v>
      </c>
      <c r="E15" s="102">
        <f>+E13*E6</f>
        <v>0</v>
      </c>
      <c r="G15" s="165"/>
      <c r="H15" s="168"/>
      <c r="I15" s="106">
        <f t="shared" si="1"/>
        <v>0</v>
      </c>
      <c r="J15" s="164"/>
      <c r="K15" s="100">
        <f t="shared" si="2"/>
        <v>0</v>
      </c>
      <c r="M15" s="165"/>
      <c r="N15" s="169"/>
      <c r="O15" s="106" t="e">
        <f t="shared" si="0"/>
        <v>#DIV/0!</v>
      </c>
    </row>
    <row r="16" spans="4:15" x14ac:dyDescent="0.3">
      <c r="D16" s="38"/>
      <c r="E16" s="3"/>
      <c r="G16" s="2" t="s">
        <v>142</v>
      </c>
      <c r="H16" s="3"/>
      <c r="I16" s="100">
        <f>SUM(I12:I15)+H6</f>
        <v>0</v>
      </c>
      <c r="J16" s="99" t="e">
        <f>+(K16+H9)/I16</f>
        <v>#DIV/0!</v>
      </c>
      <c r="K16" s="107" t="e">
        <f>SUM(K12:K15)+H9</f>
        <v>#DIV/0!</v>
      </c>
      <c r="M16" s="165"/>
      <c r="N16" s="169"/>
      <c r="O16" s="106" t="e">
        <f t="shared" si="0"/>
        <v>#DIV/0!</v>
      </c>
    </row>
    <row r="17" spans="4:15" x14ac:dyDescent="0.3">
      <c r="D17" s="89" t="s">
        <v>141</v>
      </c>
      <c r="E17" s="164"/>
      <c r="G17" s="3"/>
      <c r="H17" s="3"/>
      <c r="I17" s="152"/>
      <c r="M17" s="165"/>
      <c r="N17" s="169"/>
      <c r="O17" s="106" t="e">
        <f t="shared" si="0"/>
        <v>#DIV/0!</v>
      </c>
    </row>
    <row r="18" spans="4:15" x14ac:dyDescent="0.3">
      <c r="D18" s="94" t="s">
        <v>81</v>
      </c>
      <c r="E18" s="2">
        <f>+E17*E15</f>
        <v>0</v>
      </c>
      <c r="G18" s="3" t="s">
        <v>101</v>
      </c>
      <c r="H18" s="168"/>
      <c r="I18" s="68"/>
      <c r="J18" s="153"/>
      <c r="M18" s="165"/>
      <c r="N18" s="169"/>
      <c r="O18" s="106" t="e">
        <f t="shared" si="0"/>
        <v>#DIV/0!</v>
      </c>
    </row>
    <row r="19" spans="4:15" x14ac:dyDescent="0.3">
      <c r="D19" s="3"/>
      <c r="E19" s="3"/>
      <c r="G19" s="3"/>
      <c r="H19" s="3"/>
      <c r="M19" s="165"/>
      <c r="N19" s="169"/>
      <c r="O19" s="106" t="e">
        <f t="shared" si="0"/>
        <v>#DIV/0!</v>
      </c>
    </row>
    <row r="20" spans="4:15" x14ac:dyDescent="0.3">
      <c r="D20" s="3"/>
      <c r="E20" s="3"/>
      <c r="G20" s="102" t="s">
        <v>143</v>
      </c>
      <c r="H20" s="103">
        <f>+I16*(1-H18)</f>
        <v>0</v>
      </c>
      <c r="M20" s="165"/>
      <c r="N20" s="169"/>
      <c r="O20" s="106" t="e">
        <f t="shared" si="0"/>
        <v>#DIV/0!</v>
      </c>
    </row>
    <row r="21" spans="4:15" x14ac:dyDescent="0.3">
      <c r="D21" s="113" t="s">
        <v>88</v>
      </c>
      <c r="E21" s="164"/>
      <c r="G21" s="3"/>
      <c r="H21" s="3"/>
      <c r="M21" s="165"/>
      <c r="N21" s="169"/>
      <c r="O21" s="106" t="e">
        <f t="shared" si="0"/>
        <v>#DIV/0!</v>
      </c>
    </row>
    <row r="22" spans="4:15" x14ac:dyDescent="0.3">
      <c r="D22" s="3"/>
      <c r="E22" s="3"/>
      <c r="G22" s="3" t="s">
        <v>102</v>
      </c>
      <c r="H22" s="164"/>
      <c r="M22" s="165"/>
      <c r="N22" s="169"/>
      <c r="O22" s="106" t="e">
        <f t="shared" si="0"/>
        <v>#DIV/0!</v>
      </c>
    </row>
    <row r="23" spans="4:15" x14ac:dyDescent="0.3">
      <c r="D23" s="2" t="s">
        <v>85</v>
      </c>
      <c r="E23" s="2">
        <f>+E21*E15</f>
        <v>0</v>
      </c>
      <c r="G23" s="3" t="s">
        <v>103</v>
      </c>
      <c r="H23" s="106" t="e">
        <f>+H20/H22</f>
        <v>#DIV/0!</v>
      </c>
      <c r="M23" s="165"/>
      <c r="N23" s="169"/>
      <c r="O23" s="106" t="e">
        <f t="shared" si="0"/>
        <v>#DIV/0!</v>
      </c>
    </row>
    <row r="24" spans="4:15" x14ac:dyDescent="0.3">
      <c r="D24" s="86" t="s">
        <v>131</v>
      </c>
      <c r="E24" s="119" t="e">
        <f>+E25/E15*1000</f>
        <v>#DIV/0!</v>
      </c>
      <c r="G24" s="3"/>
      <c r="H24" s="3"/>
      <c r="M24" s="165"/>
      <c r="N24" s="169"/>
      <c r="O24" s="106" t="e">
        <f t="shared" si="0"/>
        <v>#DIV/0!</v>
      </c>
    </row>
    <row r="25" spans="4:15" x14ac:dyDescent="0.3">
      <c r="D25" s="86" t="s">
        <v>140</v>
      </c>
      <c r="E25" s="96">
        <f>E9+E11+E18+E23</f>
        <v>0</v>
      </c>
      <c r="G25" s="2" t="s">
        <v>105</v>
      </c>
      <c r="H25" s="107" t="e">
        <f>+H23*O25</f>
        <v>#DIV/0!</v>
      </c>
      <c r="M25" s="2" t="s">
        <v>25</v>
      </c>
      <c r="N25" s="100">
        <f>SUM(N5:N24)</f>
        <v>0</v>
      </c>
      <c r="O25" s="100" t="e">
        <f>SUM(O5:O24)</f>
        <v>#DIV/0!</v>
      </c>
    </row>
    <row r="26" spans="4:15" x14ac:dyDescent="0.3">
      <c r="G26" s="3"/>
      <c r="H26" s="3"/>
      <c r="O26" s="32"/>
    </row>
    <row r="27" spans="4:15" ht="15.75" customHeight="1" x14ac:dyDescent="0.3">
      <c r="D27" s="129"/>
      <c r="E27" s="130"/>
      <c r="G27" s="3"/>
      <c r="H27" s="3"/>
      <c r="M27" s="3" t="s">
        <v>109</v>
      </c>
      <c r="N27" s="164"/>
      <c r="O27" s="32"/>
    </row>
    <row r="28" spans="4:15" x14ac:dyDescent="0.3">
      <c r="D28" s="130"/>
      <c r="E28" s="130"/>
      <c r="G28" s="3"/>
      <c r="H28" s="3"/>
      <c r="O28" s="32"/>
    </row>
    <row r="29" spans="4:15" x14ac:dyDescent="0.3">
      <c r="D29" s="129"/>
      <c r="E29" s="129"/>
      <c r="G29" s="86" t="s">
        <v>106</v>
      </c>
      <c r="H29" s="108" t="e">
        <f>+H25+K16</f>
        <v>#DIV/0!</v>
      </c>
      <c r="I29" s="152"/>
      <c r="O29" s="32"/>
    </row>
    <row r="30" spans="4:15" x14ac:dyDescent="0.3">
      <c r="D30" s="130"/>
      <c r="E30" s="130"/>
      <c r="G30" s="3" t="s">
        <v>108</v>
      </c>
      <c r="H30" s="105" t="e">
        <f>H29/H20</f>
        <v>#DIV/0!</v>
      </c>
      <c r="O30" s="32"/>
    </row>
    <row r="31" spans="4:15" x14ac:dyDescent="0.3">
      <c r="D31" s="129"/>
      <c r="E31" s="131"/>
      <c r="G31" s="3" t="s">
        <v>96</v>
      </c>
      <c r="H31" s="164"/>
      <c r="O31" s="32"/>
    </row>
    <row r="32" spans="4:15" x14ac:dyDescent="0.3">
      <c r="D32" s="129"/>
      <c r="E32" s="132"/>
      <c r="G32" s="3"/>
      <c r="H32" s="3"/>
      <c r="O32" s="32"/>
    </row>
    <row r="33" spans="4:15" x14ac:dyDescent="0.3">
      <c r="D33" s="129"/>
      <c r="G33" s="86" t="s">
        <v>146</v>
      </c>
      <c r="H33" s="109">
        <f>H31*H20</f>
        <v>0</v>
      </c>
      <c r="O33" s="32"/>
    </row>
    <row r="34" spans="4:15" x14ac:dyDescent="0.3">
      <c r="D34" s="129"/>
      <c r="G34" s="86" t="s">
        <v>147</v>
      </c>
      <c r="H34" s="164"/>
      <c r="O34" s="32"/>
    </row>
    <row r="35" spans="4:15" x14ac:dyDescent="0.3">
      <c r="D35" s="129"/>
      <c r="G35" s="86" t="s">
        <v>145</v>
      </c>
      <c r="H35" s="127">
        <f>+H34+H33</f>
        <v>0</v>
      </c>
      <c r="O35" s="32"/>
    </row>
    <row r="36" spans="4:15" x14ac:dyDescent="0.3">
      <c r="D36" s="129"/>
      <c r="G36" s="2"/>
      <c r="H36" s="3"/>
      <c r="O36" s="32"/>
    </row>
    <row r="37" spans="4:15" x14ac:dyDescent="0.3">
      <c r="G37" s="2" t="s">
        <v>86</v>
      </c>
      <c r="H37" s="111" t="e">
        <f>+H35-H29</f>
        <v>#DIV/0!</v>
      </c>
      <c r="O37" s="32"/>
    </row>
    <row r="38" spans="4:15" x14ac:dyDescent="0.3">
      <c r="G38" s="2" t="s">
        <v>87</v>
      </c>
      <c r="H38" s="37" t="e">
        <f>+H37/H29</f>
        <v>#DIV/0!</v>
      </c>
      <c r="O38" s="32"/>
    </row>
    <row r="39" spans="4:15" x14ac:dyDescent="0.3">
      <c r="O39" s="32"/>
    </row>
    <row r="40" spans="4:15" x14ac:dyDescent="0.3">
      <c r="O40" s="32">
        <v>0</v>
      </c>
    </row>
    <row r="41" spans="4:15" x14ac:dyDescent="0.3">
      <c r="F41" s="130"/>
    </row>
    <row r="42" spans="4:15" x14ac:dyDescent="0.3">
      <c r="F42" s="131"/>
    </row>
    <row r="43" spans="4:15" x14ac:dyDescent="0.3">
      <c r="F43" s="132"/>
    </row>
    <row r="44" spans="4:15" x14ac:dyDescent="0.3">
      <c r="I44" s="97"/>
    </row>
    <row r="78" spans="4:5" x14ac:dyDescent="0.3">
      <c r="E78" s="36"/>
    </row>
    <row r="79" spans="4:5" x14ac:dyDescent="0.3">
      <c r="D79" s="36"/>
      <c r="E79" s="31"/>
    </row>
    <row r="80" spans="4:5" x14ac:dyDescent="0.3">
      <c r="D80" s="31"/>
      <c r="E80" s="32"/>
    </row>
    <row r="81" spans="4:9" x14ac:dyDescent="0.3">
      <c r="D81" s="32"/>
      <c r="E81" s="32"/>
      <c r="H81" s="36"/>
    </row>
    <row r="82" spans="4:9" x14ac:dyDescent="0.3">
      <c r="D82" s="32"/>
      <c r="E82" s="32"/>
      <c r="G82" s="36"/>
      <c r="H82" s="31"/>
    </row>
    <row r="83" spans="4:9" x14ac:dyDescent="0.3">
      <c r="D83" s="32"/>
      <c r="E83" s="32"/>
      <c r="G83" s="31"/>
      <c r="H83" s="32"/>
    </row>
    <row r="84" spans="4:9" x14ac:dyDescent="0.3">
      <c r="D84" s="32"/>
      <c r="E84" s="32"/>
      <c r="G84" s="32"/>
      <c r="H84" s="32"/>
    </row>
    <row r="85" spans="4:9" x14ac:dyDescent="0.3">
      <c r="D85" s="32"/>
      <c r="E85" s="32"/>
      <c r="G85" s="32"/>
      <c r="H85" s="32"/>
    </row>
    <row r="86" spans="4:9" x14ac:dyDescent="0.3">
      <c r="D86" s="32"/>
      <c r="E86" s="32"/>
      <c r="G86" s="32"/>
      <c r="H86" s="32"/>
    </row>
    <row r="87" spans="4:9" x14ac:dyDescent="0.3">
      <c r="D87" s="32"/>
      <c r="E87" s="32"/>
      <c r="G87" s="32"/>
      <c r="H87" s="32"/>
    </row>
    <row r="88" spans="4:9" x14ac:dyDescent="0.3">
      <c r="D88" s="32"/>
      <c r="E88" s="32"/>
      <c r="G88" s="32"/>
      <c r="H88" s="32"/>
      <c r="I88" s="36"/>
    </row>
    <row r="89" spans="4:9" x14ac:dyDescent="0.3">
      <c r="D89" s="32"/>
      <c r="E89" s="32"/>
      <c r="F89" s="36"/>
      <c r="G89" s="32"/>
      <c r="H89" s="32"/>
      <c r="I89" s="31"/>
    </row>
    <row r="90" spans="4:9" x14ac:dyDescent="0.3">
      <c r="D90" s="32"/>
      <c r="E90" s="32"/>
      <c r="F90" s="31"/>
      <c r="G90" s="32"/>
      <c r="H90" s="32"/>
      <c r="I90" s="32"/>
    </row>
    <row r="91" spans="4:9" x14ac:dyDescent="0.3">
      <c r="D91" s="32"/>
      <c r="F91" s="32"/>
      <c r="G91" s="32"/>
      <c r="H91" s="32"/>
      <c r="I91" s="32"/>
    </row>
    <row r="92" spans="4:9" x14ac:dyDescent="0.3">
      <c r="F92" s="32"/>
      <c r="G92" s="32"/>
      <c r="H92" s="32"/>
      <c r="I92" s="32"/>
    </row>
    <row r="93" spans="4:9" x14ac:dyDescent="0.3">
      <c r="F93" s="32"/>
      <c r="G93" s="32"/>
      <c r="H93" s="32"/>
      <c r="I93" s="32"/>
    </row>
    <row r="94" spans="4:9" x14ac:dyDescent="0.3">
      <c r="F94" s="32"/>
      <c r="G94" s="32"/>
      <c r="I94" s="32"/>
    </row>
    <row r="95" spans="4:9" x14ac:dyDescent="0.3">
      <c r="F95" s="32"/>
      <c r="I95" s="32"/>
    </row>
    <row r="96" spans="4:9" x14ac:dyDescent="0.3">
      <c r="F96" s="32"/>
      <c r="I96" s="32"/>
    </row>
    <row r="97" spans="6:9" x14ac:dyDescent="0.3">
      <c r="F97" s="32"/>
      <c r="I97" s="32"/>
    </row>
    <row r="98" spans="6:9" ht="15" customHeight="1" x14ac:dyDescent="0.3">
      <c r="F98" s="32"/>
      <c r="I98" s="32"/>
    </row>
    <row r="99" spans="6:9" ht="18.75" customHeight="1" x14ac:dyDescent="0.3">
      <c r="F99" s="32"/>
      <c r="I99" s="32"/>
    </row>
    <row r="100" spans="6:9" ht="18.75" customHeight="1" x14ac:dyDescent="0.3">
      <c r="F100" s="32"/>
      <c r="I100" s="32"/>
    </row>
    <row r="101" spans="6:9" x14ac:dyDescent="0.3">
      <c r="F101" s="32"/>
    </row>
  </sheetData>
  <sheetProtection algorithmName="SHA-512" hashValue="X0XvA3on9m/mpDGGj3WoDAD91VCEjKwuJwiXDyW48QXXfkVqr7L13jDc0shDZJtI/wn/szjLrujS44nIHu1UjA==" saltValue="nur+WDKomxx0fSADeAyRcA==" spinCount="100000" sheet="1" objects="1" scenarios="1"/>
  <conditionalFormatting sqref="E80:E90 D81:D91 H83:H93 G84:G94 I90:I100 F91:F101">
    <cfRule type="cellIs" dxfId="0" priority="29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>
    <oddHeader>&amp;L&amp;G&amp;COpen Fields per PTP&amp;RSimulazione costi e conto economico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93B6-C097-42D7-AF46-C53E8C223368}">
  <sheetPr>
    <tabColor rgb="FFFFFF00"/>
  </sheetPr>
  <dimension ref="B2:F34"/>
  <sheetViews>
    <sheetView workbookViewId="0">
      <selection activeCell="I8" sqref="I8"/>
    </sheetView>
  </sheetViews>
  <sheetFormatPr defaultRowHeight="14.4" x14ac:dyDescent="0.3"/>
  <cols>
    <col min="2" max="2" width="42.21875" customWidth="1"/>
    <col min="3" max="3" width="15.5546875" customWidth="1"/>
    <col min="4" max="4" width="16.5546875" customWidth="1"/>
    <col min="5" max="5" width="11.88671875" customWidth="1"/>
    <col min="6" max="6" width="14.6640625" customWidth="1"/>
  </cols>
  <sheetData>
    <row r="2" spans="2:6" x14ac:dyDescent="0.3">
      <c r="B2" s="53" t="s">
        <v>176</v>
      </c>
    </row>
    <row r="3" spans="2:6" ht="43.2" x14ac:dyDescent="0.3">
      <c r="B3" s="53"/>
      <c r="C3" s="155" t="s">
        <v>173</v>
      </c>
      <c r="D3" s="155" t="s">
        <v>174</v>
      </c>
      <c r="E3" s="155" t="s">
        <v>175</v>
      </c>
      <c r="F3" s="155" t="s">
        <v>69</v>
      </c>
    </row>
    <row r="4" spans="2:6" x14ac:dyDescent="0.3">
      <c r="B4" t="s">
        <v>177</v>
      </c>
      <c r="C4" s="32" t="e">
        <f>'Prod. sementiera'!$F$73*'Prod. sementiera'!$F$3*'Prod. sementiera'!$F$4</f>
        <v>#DIV/0!</v>
      </c>
      <c r="D4" s="32" t="e">
        <f>'Granella da macinare'!F73*'Granella da macinare'!$F$3*'Granella da macinare'!$F$4</f>
        <v>#DIV/0!</v>
      </c>
      <c r="E4" s="32" t="e">
        <f>'Granella + farina'!F73*'Granella + farina'!$F$3*'Granella + farina'!$F$4</f>
        <v>#DIV/0!</v>
      </c>
      <c r="F4" s="206"/>
    </row>
    <row r="5" spans="2:6" x14ac:dyDescent="0.3">
      <c r="B5" t="s">
        <v>21</v>
      </c>
      <c r="C5" s="32" t="e">
        <f>'Prod. sementiera'!$F$75*'Prod. sementiera'!$F$3*'Prod. sementiera'!$F$4</f>
        <v>#DIV/0!</v>
      </c>
      <c r="D5" s="32" t="e">
        <f>'Granella da macinare'!F75*'Granella da macinare'!$F$3*'Granella da macinare'!$F$4</f>
        <v>#DIV/0!</v>
      </c>
      <c r="E5" s="32" t="e">
        <f>'Granella + farina'!F75*'Granella + farina'!$F$3*'Granella + farina'!$F$4</f>
        <v>#DIV/0!</v>
      </c>
      <c r="F5" s="206"/>
    </row>
    <row r="6" spans="2:6" x14ac:dyDescent="0.3">
      <c r="B6" t="s">
        <v>5</v>
      </c>
      <c r="C6" s="32" t="e">
        <f>'Prod. sementiera'!$F$74*'Prod. sementiera'!$F$3*'Prod. sementiera'!$F$4</f>
        <v>#DIV/0!</v>
      </c>
      <c r="D6" s="32" t="e">
        <f>'Granella da macinare'!F74*'Granella da macinare'!$F$3*'Granella da macinare'!$F$4</f>
        <v>#DIV/0!</v>
      </c>
      <c r="E6" s="32" t="e">
        <f>'Granella + farina'!F74*'Granella + farina'!$F$3*'Granella + farina'!$F$4</f>
        <v>#DIV/0!</v>
      </c>
      <c r="F6" s="206"/>
    </row>
    <row r="7" spans="2:6" x14ac:dyDescent="0.3">
      <c r="B7" t="s">
        <v>160</v>
      </c>
      <c r="C7" s="32" t="e">
        <f>'Prod. sementiera'!$F$76*'Prod. sementiera'!$F$3*'Prod. sementiera'!$F$4</f>
        <v>#DIV/0!</v>
      </c>
      <c r="D7" s="32" t="e">
        <f>'Granella da macinare'!F76*'Granella da macinare'!$F$3*'Granella da macinare'!$F$4</f>
        <v>#DIV/0!</v>
      </c>
      <c r="E7" s="32" t="e">
        <f>'Granella + farina'!F76*'Granella + farina'!$F$3*'Granella + farina'!$F$4</f>
        <v>#DIV/0!</v>
      </c>
      <c r="F7" s="206"/>
    </row>
    <row r="8" spans="2:6" x14ac:dyDescent="0.3">
      <c r="B8" t="s">
        <v>22</v>
      </c>
      <c r="C8" s="32" t="e">
        <f>'Prod. sementiera'!$F$77*'Prod. sementiera'!$F$3*'Prod. sementiera'!$F$4</f>
        <v>#DIV/0!</v>
      </c>
      <c r="D8" s="32" t="e">
        <f>'Granella da macinare'!F77*'Granella da macinare'!$F$3*'Granella da macinare'!$F$4</f>
        <v>#DIV/0!</v>
      </c>
      <c r="E8" s="32" t="e">
        <f>'Granella + farina'!F77*'Granella + farina'!$F$3*'Granella + farina'!$F$4</f>
        <v>#DIV/0!</v>
      </c>
      <c r="F8" s="206"/>
    </row>
    <row r="9" spans="2:6" x14ac:dyDescent="0.3">
      <c r="B9" t="s">
        <v>170</v>
      </c>
      <c r="C9" s="32" t="e">
        <f>'Prod. sementiera'!$F$78*'Prod. sementiera'!$F$3*'Prod. sementiera'!$F$4</f>
        <v>#DIV/0!</v>
      </c>
      <c r="D9" s="32" t="e">
        <f>'Granella da macinare'!F78*'Granella da macinare'!$F$3*'Granella da macinare'!$F$4</f>
        <v>#DIV/0!</v>
      </c>
      <c r="E9" s="32" t="e">
        <f>'Granella + farina'!F78*'Granella + farina'!$F$3*'Granella + farina'!$F$4</f>
        <v>#DIV/0!</v>
      </c>
      <c r="F9" s="206"/>
    </row>
    <row r="10" spans="2:6" x14ac:dyDescent="0.3">
      <c r="B10" t="s">
        <v>181</v>
      </c>
      <c r="C10" s="32" t="e">
        <f>'Prod. sementiera'!$L$13+'Prod. sementiera'!$L$21</f>
        <v>#DIV/0!</v>
      </c>
      <c r="D10" s="32">
        <f>'Granella da macinare'!L13+'Granella da macinare'!L21</f>
        <v>0</v>
      </c>
      <c r="E10" s="32">
        <f>'Granella + farina'!L13+'Granella + farina'!L21</f>
        <v>0</v>
      </c>
      <c r="F10" s="206"/>
    </row>
    <row r="11" spans="2:6" x14ac:dyDescent="0.3">
      <c r="B11" t="s">
        <v>192</v>
      </c>
      <c r="C11">
        <v>0</v>
      </c>
      <c r="D11">
        <v>0</v>
      </c>
      <c r="E11">
        <v>0</v>
      </c>
      <c r="F11">
        <f>'Farina + pane'!E9</f>
        <v>0</v>
      </c>
    </row>
    <row r="12" spans="2:6" x14ac:dyDescent="0.3">
      <c r="B12" t="s">
        <v>187</v>
      </c>
      <c r="C12" s="32">
        <v>0</v>
      </c>
      <c r="D12" s="32">
        <f>'Granella da macinare'!F80*'Granella da macinare'!$F$3*'Granella da macinare'!$F$4</f>
        <v>0</v>
      </c>
      <c r="E12" s="32">
        <f>'Granella + farina'!N15+'Granella + farina'!N22+0</f>
        <v>0</v>
      </c>
      <c r="F12">
        <f>'Farina + pane'!E11</f>
        <v>0</v>
      </c>
    </row>
    <row r="13" spans="2:6" x14ac:dyDescent="0.3">
      <c r="B13" t="s">
        <v>188</v>
      </c>
      <c r="C13" s="32">
        <f>'Prod. sementiera'!L18</f>
        <v>0</v>
      </c>
      <c r="D13" s="32">
        <f>'Granella da macinare'!L18</f>
        <v>0</v>
      </c>
      <c r="E13" s="32">
        <f>'Granella + farina'!N31+'Granella + farina'!N34</f>
        <v>0</v>
      </c>
    </row>
    <row r="14" spans="2:6" x14ac:dyDescent="0.3">
      <c r="B14" t="s">
        <v>189</v>
      </c>
      <c r="C14" s="32">
        <v>0</v>
      </c>
      <c r="D14" s="32">
        <v>0</v>
      </c>
      <c r="E14" s="32">
        <f>'Granella + farina'!N35+'Granella + farina'!N38</f>
        <v>0</v>
      </c>
      <c r="F14">
        <f>'Farina + pane'!E18+'Farina + pane'!E23</f>
        <v>0</v>
      </c>
    </row>
    <row r="15" spans="2:6" x14ac:dyDescent="0.3">
      <c r="B15" t="s">
        <v>171</v>
      </c>
      <c r="C15" s="32">
        <v>0</v>
      </c>
      <c r="D15" s="32">
        <f>'Granella da macinare'!F81*'Granella da macinare'!$F$3*'Granella da macinare'!$F$4</f>
        <v>0</v>
      </c>
      <c r="E15" s="32">
        <f>'Granella + farina'!F81*'Granella + farina'!$F$3*'Granella + farina'!$F$4</f>
        <v>0</v>
      </c>
      <c r="F15" s="32" t="e">
        <f>'Farina + pane'!K16+'Farina + pane'!H25-'Farina + pane'!H9</f>
        <v>#DIV/0!</v>
      </c>
    </row>
    <row r="16" spans="2:6" x14ac:dyDescent="0.3">
      <c r="B16" s="53" t="s">
        <v>183</v>
      </c>
      <c r="C16" s="154" t="e">
        <f>'Prod. sementiera'!$L$43</f>
        <v>#DIV/0!</v>
      </c>
      <c r="D16" s="154" t="e">
        <f>'Granella da macinare'!L46</f>
        <v>#DIV/0!</v>
      </c>
      <c r="E16" s="154" t="e">
        <f>+E17-SUM(E4:E15)</f>
        <v>#DIV/0!</v>
      </c>
      <c r="F16" s="154" t="e">
        <f>'Farina + pane'!H37</f>
        <v>#DIV/0!</v>
      </c>
    </row>
    <row r="17" spans="2:6" x14ac:dyDescent="0.3">
      <c r="B17" s="53" t="s">
        <v>182</v>
      </c>
      <c r="C17" s="154">
        <f>'Prod. sementiera'!$L$41</f>
        <v>0</v>
      </c>
      <c r="D17" s="154">
        <f>'Granella da macinare'!L42</f>
        <v>0</v>
      </c>
      <c r="E17" s="154" t="e">
        <f>'Granella + farina'!N46</f>
        <v>#DIV/0!</v>
      </c>
      <c r="F17" s="154">
        <f>'Farina + pane'!H35</f>
        <v>0</v>
      </c>
    </row>
    <row r="19" spans="2:6" x14ac:dyDescent="0.3">
      <c r="B19" s="53" t="s">
        <v>172</v>
      </c>
      <c r="C19" s="146"/>
      <c r="D19" s="146"/>
      <c r="E19" s="146"/>
      <c r="F19" s="146"/>
    </row>
    <row r="20" spans="2:6" ht="43.2" x14ac:dyDescent="0.3">
      <c r="B20" s="53"/>
      <c r="C20" s="155" t="s">
        <v>173</v>
      </c>
      <c r="D20" s="155" t="s">
        <v>174</v>
      </c>
      <c r="E20" s="155" t="s">
        <v>175</v>
      </c>
      <c r="F20" s="155" t="s">
        <v>69</v>
      </c>
    </row>
    <row r="21" spans="2:6" x14ac:dyDescent="0.3">
      <c r="B21" t="s">
        <v>177</v>
      </c>
      <c r="C21" s="146" t="e">
        <f t="shared" ref="C21:C30" si="0">C4/$C$17</f>
        <v>#DIV/0!</v>
      </c>
      <c r="D21" s="146" t="e">
        <f t="shared" ref="D21:D30" si="1">D4/$D$17</f>
        <v>#DIV/0!</v>
      </c>
      <c r="E21" s="146" t="e">
        <f t="shared" ref="E21:E33" si="2">E4/$E$17</f>
        <v>#DIV/0!</v>
      </c>
      <c r="F21" s="146" t="e">
        <f>+F4/$F$17</f>
        <v>#DIV/0!</v>
      </c>
    </row>
    <row r="22" spans="2:6" x14ac:dyDescent="0.3">
      <c r="B22" t="s">
        <v>21</v>
      </c>
      <c r="C22" s="146" t="e">
        <f t="shared" si="0"/>
        <v>#DIV/0!</v>
      </c>
      <c r="D22" s="146" t="e">
        <f t="shared" si="1"/>
        <v>#DIV/0!</v>
      </c>
      <c r="E22" s="146" t="e">
        <f t="shared" si="2"/>
        <v>#DIV/0!</v>
      </c>
      <c r="F22" s="146" t="e">
        <f t="shared" ref="F22:F33" si="3">+F5/$F$17</f>
        <v>#DIV/0!</v>
      </c>
    </row>
    <row r="23" spans="2:6" x14ac:dyDescent="0.3">
      <c r="B23" t="s">
        <v>5</v>
      </c>
      <c r="C23" s="146" t="e">
        <f t="shared" si="0"/>
        <v>#DIV/0!</v>
      </c>
      <c r="D23" s="146" t="e">
        <f t="shared" si="1"/>
        <v>#DIV/0!</v>
      </c>
      <c r="E23" s="146" t="e">
        <f t="shared" si="2"/>
        <v>#DIV/0!</v>
      </c>
      <c r="F23" s="146" t="e">
        <f t="shared" si="3"/>
        <v>#DIV/0!</v>
      </c>
    </row>
    <row r="24" spans="2:6" x14ac:dyDescent="0.3">
      <c r="B24" t="s">
        <v>160</v>
      </c>
      <c r="C24" s="146" t="e">
        <f t="shared" si="0"/>
        <v>#DIV/0!</v>
      </c>
      <c r="D24" s="146" t="e">
        <f t="shared" si="1"/>
        <v>#DIV/0!</v>
      </c>
      <c r="E24" s="146" t="e">
        <f t="shared" si="2"/>
        <v>#DIV/0!</v>
      </c>
      <c r="F24" s="146" t="e">
        <f t="shared" si="3"/>
        <v>#DIV/0!</v>
      </c>
    </row>
    <row r="25" spans="2:6" x14ac:dyDescent="0.3">
      <c r="B25" t="s">
        <v>22</v>
      </c>
      <c r="C25" s="146" t="e">
        <f t="shared" si="0"/>
        <v>#DIV/0!</v>
      </c>
      <c r="D25" s="146" t="e">
        <f t="shared" si="1"/>
        <v>#DIV/0!</v>
      </c>
      <c r="E25" s="146" t="e">
        <f t="shared" si="2"/>
        <v>#DIV/0!</v>
      </c>
      <c r="F25" s="146" t="e">
        <f t="shared" si="3"/>
        <v>#DIV/0!</v>
      </c>
    </row>
    <row r="26" spans="2:6" x14ac:dyDescent="0.3">
      <c r="B26" t="s">
        <v>170</v>
      </c>
      <c r="C26" s="146" t="e">
        <f t="shared" si="0"/>
        <v>#DIV/0!</v>
      </c>
      <c r="D26" s="146" t="e">
        <f t="shared" si="1"/>
        <v>#DIV/0!</v>
      </c>
      <c r="E26" s="146" t="e">
        <f t="shared" si="2"/>
        <v>#DIV/0!</v>
      </c>
      <c r="F26" s="146" t="e">
        <f t="shared" si="3"/>
        <v>#DIV/0!</v>
      </c>
    </row>
    <row r="27" spans="2:6" x14ac:dyDescent="0.3">
      <c r="B27" t="s">
        <v>181</v>
      </c>
      <c r="C27" s="146" t="e">
        <f t="shared" si="0"/>
        <v>#DIV/0!</v>
      </c>
      <c r="D27" s="146" t="e">
        <f t="shared" si="1"/>
        <v>#DIV/0!</v>
      </c>
      <c r="E27" s="146" t="e">
        <f t="shared" si="2"/>
        <v>#DIV/0!</v>
      </c>
      <c r="F27" s="146" t="e">
        <f t="shared" si="3"/>
        <v>#DIV/0!</v>
      </c>
    </row>
    <row r="28" spans="2:6" x14ac:dyDescent="0.3">
      <c r="B28" t="s">
        <v>192</v>
      </c>
      <c r="C28" s="146" t="e">
        <f t="shared" si="0"/>
        <v>#DIV/0!</v>
      </c>
      <c r="D28" s="146" t="e">
        <f t="shared" si="1"/>
        <v>#DIV/0!</v>
      </c>
      <c r="E28" s="146" t="e">
        <f t="shared" si="2"/>
        <v>#DIV/0!</v>
      </c>
      <c r="F28" s="146" t="e">
        <f t="shared" si="3"/>
        <v>#DIV/0!</v>
      </c>
    </row>
    <row r="29" spans="2:6" x14ac:dyDescent="0.3">
      <c r="B29" t="s">
        <v>187</v>
      </c>
      <c r="C29" s="146" t="e">
        <f t="shared" si="0"/>
        <v>#DIV/0!</v>
      </c>
      <c r="D29" s="146" t="e">
        <f t="shared" si="1"/>
        <v>#DIV/0!</v>
      </c>
      <c r="E29" s="146" t="e">
        <f t="shared" si="2"/>
        <v>#DIV/0!</v>
      </c>
      <c r="F29" s="146" t="e">
        <f t="shared" si="3"/>
        <v>#DIV/0!</v>
      </c>
    </row>
    <row r="30" spans="2:6" x14ac:dyDescent="0.3">
      <c r="B30" t="s">
        <v>188</v>
      </c>
      <c r="C30" s="146" t="e">
        <f t="shared" si="0"/>
        <v>#DIV/0!</v>
      </c>
      <c r="D30" s="146" t="e">
        <f t="shared" si="1"/>
        <v>#DIV/0!</v>
      </c>
      <c r="E30" s="146" t="e">
        <f t="shared" si="2"/>
        <v>#DIV/0!</v>
      </c>
      <c r="F30" s="146" t="e">
        <f t="shared" si="3"/>
        <v>#DIV/0!</v>
      </c>
    </row>
    <row r="31" spans="2:6" x14ac:dyDescent="0.3">
      <c r="B31" t="s">
        <v>189</v>
      </c>
      <c r="C31" s="146">
        <v>0</v>
      </c>
      <c r="D31" s="146">
        <v>0</v>
      </c>
      <c r="E31" s="146" t="e">
        <f t="shared" si="2"/>
        <v>#DIV/0!</v>
      </c>
      <c r="F31" s="146" t="e">
        <f t="shared" si="3"/>
        <v>#DIV/0!</v>
      </c>
    </row>
    <row r="32" spans="2:6" x14ac:dyDescent="0.3">
      <c r="B32" t="s">
        <v>171</v>
      </c>
      <c r="C32" s="146" t="e">
        <f>C15/$C$17</f>
        <v>#DIV/0!</v>
      </c>
      <c r="D32" s="146" t="e">
        <f>D15/$D$17</f>
        <v>#DIV/0!</v>
      </c>
      <c r="E32" s="146" t="e">
        <f t="shared" si="2"/>
        <v>#DIV/0!</v>
      </c>
      <c r="F32" s="146" t="e">
        <f t="shared" si="3"/>
        <v>#DIV/0!</v>
      </c>
    </row>
    <row r="33" spans="2:6" x14ac:dyDescent="0.3">
      <c r="B33" s="53" t="s">
        <v>193</v>
      </c>
      <c r="C33" s="156" t="e">
        <f>C16/$C$17</f>
        <v>#DIV/0!</v>
      </c>
      <c r="D33" s="156" t="e">
        <f>D16/$D$17</f>
        <v>#DIV/0!</v>
      </c>
      <c r="E33" s="156" t="e">
        <f t="shared" si="2"/>
        <v>#DIV/0!</v>
      </c>
      <c r="F33" s="146" t="e">
        <f t="shared" si="3"/>
        <v>#DIV/0!</v>
      </c>
    </row>
    <row r="34" spans="2:6" x14ac:dyDescent="0.3">
      <c r="B34" s="53" t="s">
        <v>182</v>
      </c>
      <c r="C34" s="156" t="e">
        <f>SUM(C21:C33)</f>
        <v>#DIV/0!</v>
      </c>
      <c r="D34" s="156" t="e">
        <f>SUM(D21:D33)</f>
        <v>#DIV/0!</v>
      </c>
      <c r="E34" s="156" t="e">
        <f>SUM(E21:E33)</f>
        <v>#DIV/0!</v>
      </c>
      <c r="F34" s="156" t="e">
        <f>SUM(F21:F33)</f>
        <v>#DIV/0!</v>
      </c>
    </row>
  </sheetData>
  <mergeCells count="1">
    <mergeCell ref="F4:F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F944-2D9A-4976-BD5C-6A0347019EE0}">
  <dimension ref="B1:D3"/>
  <sheetViews>
    <sheetView workbookViewId="0">
      <selection activeCell="I26" sqref="I26"/>
    </sheetView>
  </sheetViews>
  <sheetFormatPr defaultRowHeight="14.4" x14ac:dyDescent="0.3"/>
  <sheetData>
    <row r="1" spans="2:4" ht="15" thickBot="1" x14ac:dyDescent="0.35"/>
    <row r="2" spans="2:4" x14ac:dyDescent="0.3">
      <c r="B2" s="39" t="s">
        <v>44</v>
      </c>
      <c r="D2" t="s">
        <v>91</v>
      </c>
    </row>
    <row r="3" spans="2:4" ht="15" thickBot="1" x14ac:dyDescent="0.35">
      <c r="B3" s="40" t="s">
        <v>45</v>
      </c>
      <c r="D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Indice</vt:lpstr>
      <vt:lpstr>Prod. sementiera</vt:lpstr>
      <vt:lpstr>Granella da macinare</vt:lpstr>
      <vt:lpstr>Granella + farina</vt:lpstr>
      <vt:lpstr>Farina + pane</vt:lpstr>
      <vt:lpstr>Filiere - grafici</vt:lpstr>
      <vt:lpstr>Elenchi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Ilaria Mazzoli - Openfields srl</cp:lastModifiedBy>
  <cp:lastPrinted>2017-05-09T10:26:13Z</cp:lastPrinted>
  <dcterms:created xsi:type="dcterms:W3CDTF">2017-02-10T08:57:38Z</dcterms:created>
  <dcterms:modified xsi:type="dcterms:W3CDTF">2023-07-26T12:09:44Z</dcterms:modified>
</cp:coreProperties>
</file>